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" windowWidth="11340" windowHeight="9696" firstSheet="4" activeTab="4"/>
  </bookViews>
  <sheets>
    <sheet name="Лист44" sheetId="49" r:id="rId1"/>
    <sheet name="IPС-A Двоеборье б.э." sheetId="47" r:id="rId2"/>
    <sheet name="IPС Двоеборье экип" sheetId="46" r:id="rId3"/>
    <sheet name="IPC-A Подъем на бицепс" sheetId="38" r:id="rId4"/>
    <sheet name="IPC-A Тяга без экипировки" sheetId="35" r:id="rId5"/>
    <sheet name="IPC Подъем на бицепс" sheetId="34" r:id="rId6"/>
    <sheet name="IPC Тяга без экипировки" sheetId="31" r:id="rId7"/>
    <sheet name="IPC-A Жим софт стандарт" sheetId="27" r:id="rId8"/>
    <sheet name="IPC-A Жим лежа без экип" sheetId="24" r:id="rId9"/>
    <sheet name="IPC Жим лежа без экип" sheetId="17" r:id="rId10"/>
    <sheet name="IPC-A Народный жим" sheetId="15" r:id="rId11"/>
    <sheet name="IPC-A ПЛ без экипировки" sheetId="11" r:id="rId12"/>
    <sheet name="IPC-A Клас. ПЛ" sheetId="9" r:id="rId13"/>
    <sheet name="IPC Клас. ПЛ" sheetId="5" r:id="rId14"/>
  </sheets>
  <definedNames>
    <definedName name="_FilterDatabase" localSheetId="13" hidden="1">'IPC Клас. ПЛ'!$A$1:$S$3</definedName>
  </definedNames>
  <calcPr calcId="144525" refMode="R1C1"/>
</workbook>
</file>

<file path=xl/calcChain.xml><?xml version="1.0" encoding="utf-8"?>
<calcChain xmlns="http://schemas.openxmlformats.org/spreadsheetml/2006/main">
  <c r="L6" i="35" l="1"/>
  <c r="K6" i="35"/>
  <c r="D6" i="35"/>
  <c r="P6" i="47"/>
  <c r="O6" i="47"/>
  <c r="D6" i="47"/>
  <c r="P6" i="46"/>
  <c r="O6" i="46"/>
  <c r="D6" i="46"/>
  <c r="L12" i="38"/>
  <c r="K12" i="38"/>
  <c r="D12" i="38"/>
  <c r="L9" i="38"/>
  <c r="K9" i="38"/>
  <c r="D9" i="38"/>
  <c r="L6" i="38"/>
  <c r="K6" i="38"/>
  <c r="D6" i="38"/>
  <c r="L9" i="35"/>
  <c r="K9" i="35"/>
  <c r="D9" i="35"/>
  <c r="L6" i="34"/>
  <c r="K6" i="34"/>
  <c r="D6" i="34"/>
  <c r="L12" i="31"/>
  <c r="K12" i="31"/>
  <c r="D12" i="31"/>
  <c r="L9" i="31"/>
  <c r="K9" i="31"/>
  <c r="D9" i="31"/>
  <c r="L6" i="31"/>
  <c r="K6" i="31"/>
  <c r="D6" i="31"/>
  <c r="L7" i="27"/>
  <c r="K7" i="27"/>
  <c r="D7" i="27"/>
  <c r="L6" i="27"/>
  <c r="K6" i="27"/>
  <c r="D6" i="27"/>
  <c r="L24" i="24"/>
  <c r="K24" i="24"/>
  <c r="D24" i="24"/>
  <c r="L21" i="24"/>
  <c r="K21" i="24"/>
  <c r="D21" i="24"/>
  <c r="L18" i="24"/>
  <c r="K18" i="24"/>
  <c r="D18" i="24"/>
  <c r="L17" i="24"/>
  <c r="K17" i="24"/>
  <c r="D17" i="24"/>
  <c r="L16" i="24"/>
  <c r="K16" i="24"/>
  <c r="D16" i="24"/>
  <c r="L13" i="24"/>
  <c r="K13" i="24"/>
  <c r="D13" i="24"/>
  <c r="L12" i="24"/>
  <c r="K12" i="24"/>
  <c r="D12" i="24"/>
  <c r="L9" i="24"/>
  <c r="K9" i="24"/>
  <c r="D9" i="24"/>
  <c r="L6" i="24"/>
  <c r="K6" i="24"/>
  <c r="D6" i="24"/>
  <c r="L6" i="17"/>
  <c r="K6" i="17"/>
  <c r="D6" i="17"/>
  <c r="J6" i="15"/>
  <c r="I6" i="15"/>
  <c r="D6" i="15"/>
  <c r="T30" i="11"/>
  <c r="S30" i="11"/>
  <c r="D30" i="11"/>
  <c r="T27" i="11"/>
  <c r="S27" i="11"/>
  <c r="D27" i="11"/>
  <c r="T24" i="11"/>
  <c r="S24" i="11"/>
  <c r="D24" i="11"/>
  <c r="T21" i="11"/>
  <c r="S21" i="11"/>
  <c r="D21" i="11"/>
  <c r="T18" i="11"/>
  <c r="S18" i="11"/>
  <c r="D18" i="11"/>
  <c r="T15" i="11"/>
  <c r="S15" i="11"/>
  <c r="D15" i="11"/>
  <c r="T12" i="11"/>
  <c r="S12" i="11"/>
  <c r="D12" i="11"/>
  <c r="T9" i="11"/>
  <c r="S9" i="11"/>
  <c r="D9" i="11"/>
  <c r="T6" i="11"/>
  <c r="S6" i="11"/>
  <c r="D6" i="11"/>
  <c r="T21" i="9"/>
  <c r="S21" i="9"/>
  <c r="D21" i="9"/>
  <c r="T20" i="9"/>
  <c r="S20" i="9"/>
  <c r="D20" i="9"/>
  <c r="T17" i="9"/>
  <c r="S17" i="9"/>
  <c r="D17" i="9"/>
  <c r="T14" i="9"/>
  <c r="S14" i="9"/>
  <c r="D14" i="9"/>
  <c r="T13" i="9"/>
  <c r="S13" i="9"/>
  <c r="D13" i="9"/>
  <c r="T10" i="9"/>
  <c r="S10" i="9"/>
  <c r="D10" i="9"/>
  <c r="T9" i="9"/>
  <c r="S9" i="9"/>
  <c r="D9" i="9"/>
  <c r="T6" i="9"/>
  <c r="S6" i="9"/>
  <c r="D6" i="9"/>
  <c r="T14" i="5"/>
  <c r="S14" i="5"/>
  <c r="D14" i="5"/>
  <c r="T11" i="5"/>
  <c r="S11" i="5"/>
  <c r="D11" i="5"/>
  <c r="T10" i="5"/>
  <c r="S10" i="5"/>
  <c r="D10" i="5"/>
  <c r="T7" i="5"/>
  <c r="S7" i="5"/>
  <c r="D7" i="5"/>
  <c r="T6" i="5"/>
  <c r="S6" i="5"/>
  <c r="D6" i="5"/>
</calcChain>
</file>

<file path=xl/sharedStrings.xml><?xml version="1.0" encoding="utf-8"?>
<sst xmlns="http://schemas.openxmlformats.org/spreadsheetml/2006/main" count="1156" uniqueCount="320">
  <si>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</si>
  <si>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</si>
  <si>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</si>
  <si>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</si>
  <si>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</si>
  <si>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</si>
  <si>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</si>
  <si>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</si>
  <si>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</si>
  <si>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</si>
  <si>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</si>
  <si>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</si>
  <si>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OPEN DIAMOND STARS CUP IPC/IPC-A/WAA-2023
IPC Пауэрлифтинг классический
Курск/Курская область 19 - 20 августа 2023 г.</t>
  </si>
  <si>
    <t>Gloss</t>
  </si>
  <si>
    <t>Приседание</t>
  </si>
  <si>
    <t>Жим лёжа</t>
  </si>
  <si>
    <t>Становая тяга</t>
  </si>
  <si>
    <t>ВЕСОВАЯ КАТЕГОРИЯ   60</t>
  </si>
  <si>
    <t xml:space="preserve">Дятлова Светлана </t>
  </si>
  <si>
    <t xml:space="preserve">1. Дятлова Светлана </t>
  </si>
  <si>
    <t>Открытая (09.12.1981)/41</t>
  </si>
  <si>
    <t>57,60</t>
  </si>
  <si>
    <t xml:space="preserve">лично </t>
  </si>
  <si>
    <t xml:space="preserve">Курск/Курская область </t>
  </si>
  <si>
    <t>90,0</t>
  </si>
  <si>
    <t>95,0</t>
  </si>
  <si>
    <t>97,5</t>
  </si>
  <si>
    <t>45,0</t>
  </si>
  <si>
    <t>47,5</t>
  </si>
  <si>
    <t>50,0</t>
  </si>
  <si>
    <t>115,0</t>
  </si>
  <si>
    <t>120,0</t>
  </si>
  <si>
    <t xml:space="preserve">Локтионова Илия </t>
  </si>
  <si>
    <t xml:space="preserve">Овсянникова Елена </t>
  </si>
  <si>
    <t xml:space="preserve">2. Овсянникова Елена </t>
  </si>
  <si>
    <t>Открытая (28.05.1992)/31</t>
  </si>
  <si>
    <t>58,20</t>
  </si>
  <si>
    <t>80,0</t>
  </si>
  <si>
    <t>85,0</t>
  </si>
  <si>
    <t>42,5</t>
  </si>
  <si>
    <t>100,0</t>
  </si>
  <si>
    <t>110,0</t>
  </si>
  <si>
    <t xml:space="preserve"> </t>
  </si>
  <si>
    <t>ВЕСОВАЯ КАТЕГОРИЯ   67.5</t>
  </si>
  <si>
    <t xml:space="preserve">Шевченко Екатерина </t>
  </si>
  <si>
    <t xml:space="preserve">1. Шевченко Екатерина </t>
  </si>
  <si>
    <t>Открытая (07.07.1995)/28</t>
  </si>
  <si>
    <t>65,00</t>
  </si>
  <si>
    <t xml:space="preserve">Курчатов/Курская область </t>
  </si>
  <si>
    <t>135,0</t>
  </si>
  <si>
    <t>145,0</t>
  </si>
  <si>
    <t>152,5</t>
  </si>
  <si>
    <t>105,0</t>
  </si>
  <si>
    <t>170,0</t>
  </si>
  <si>
    <t>182,5</t>
  </si>
  <si>
    <t>190,0</t>
  </si>
  <si>
    <t xml:space="preserve">Зиновьева Татьяна </t>
  </si>
  <si>
    <t xml:space="preserve">2. Зиновьева Татьяна </t>
  </si>
  <si>
    <t>Открытая (24.04.1971)/52</t>
  </si>
  <si>
    <t>65,50</t>
  </si>
  <si>
    <t>75,0</t>
  </si>
  <si>
    <t>125,0</t>
  </si>
  <si>
    <t>130,0</t>
  </si>
  <si>
    <t>ВЕСОВАЯ КАТЕГОРИЯ   82.5</t>
  </si>
  <si>
    <t xml:space="preserve">Беглов Юрий </t>
  </si>
  <si>
    <t xml:space="preserve">1. Беглов Юрий </t>
  </si>
  <si>
    <t>Ветераны 55 - 59 (06.05.1965)/58</t>
  </si>
  <si>
    <t>80,10</t>
  </si>
  <si>
    <t xml:space="preserve">Воронеж/Воронежская область </t>
  </si>
  <si>
    <t>175,0</t>
  </si>
  <si>
    <t>185,0</t>
  </si>
  <si>
    <t>112,5</t>
  </si>
  <si>
    <t>117,5</t>
  </si>
  <si>
    <t>215,0</t>
  </si>
  <si>
    <t>230,0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</si>
  <si>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</si>
  <si>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</si>
  <si>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</si>
  <si>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</si>
  <si>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</si>
  <si>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</si>
  <si>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</si>
  <si>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</si>
  <si>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</si>
  <si>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</si>
  <si>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</si>
  <si>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</si>
  <si>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</si>
  <si>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>67.5</t>
  </si>
  <si>
    <t>60</t>
  </si>
  <si>
    <t xml:space="preserve">Мужчины </t>
  </si>
  <si>
    <t xml:space="preserve">Ветераны </t>
  </si>
  <si>
    <t xml:space="preserve">Ветераны 55 - 59 </t>
  </si>
  <si>
    <t>82.5</t>
  </si>
  <si>
    <t>OPEN DIAMOND STARS CUP IPC/IPC-A/WAA-2023
IPC-A Пауэрлифтинг классический
Курск/Курская область 19 - 20 августа 2023 г.</t>
  </si>
  <si>
    <t xml:space="preserve">Енина Елена </t>
  </si>
  <si>
    <t xml:space="preserve">1. Енина Елена </t>
  </si>
  <si>
    <t>Открытая (10.05.1989)/34</t>
  </si>
  <si>
    <t>57,50</t>
  </si>
  <si>
    <t xml:space="preserve">Носорог </t>
  </si>
  <si>
    <t>70,0</t>
  </si>
  <si>
    <t xml:space="preserve">Умеренков Игорь </t>
  </si>
  <si>
    <t xml:space="preserve">Крамская Вероника </t>
  </si>
  <si>
    <t xml:space="preserve">1. Крамская Вероника </t>
  </si>
  <si>
    <t>Девушки 16 - 17 (18.12.2006)/16</t>
  </si>
  <si>
    <t xml:space="preserve">Носорог ПРО </t>
  </si>
  <si>
    <t>122,5</t>
  </si>
  <si>
    <t xml:space="preserve">Фомина Виктория </t>
  </si>
  <si>
    <t xml:space="preserve">1. Фомина Виктория </t>
  </si>
  <si>
    <t>Открытая (29.11.1996)/26</t>
  </si>
  <si>
    <t>67,00</t>
  </si>
  <si>
    <t>107,5</t>
  </si>
  <si>
    <t xml:space="preserve">Макарова Диана </t>
  </si>
  <si>
    <t xml:space="preserve">1. Макарова Диана </t>
  </si>
  <si>
    <t>Девушки 18 - 19 (23.07.2005)/18</t>
  </si>
  <si>
    <t>80,90</t>
  </si>
  <si>
    <t xml:space="preserve">.Олимп </t>
  </si>
  <si>
    <t xml:space="preserve">Рыльск/Курская область </t>
  </si>
  <si>
    <t>137,5</t>
  </si>
  <si>
    <t>55,0</t>
  </si>
  <si>
    <t>60,0</t>
  </si>
  <si>
    <t>65,0</t>
  </si>
  <si>
    <t xml:space="preserve">Яковлева Анастасия </t>
  </si>
  <si>
    <t xml:space="preserve">1. Яковлева Анастасия </t>
  </si>
  <si>
    <t>Открытая (17.07.1992)/31</t>
  </si>
  <si>
    <t>78,60</t>
  </si>
  <si>
    <t xml:space="preserve">Пузанов Владислав </t>
  </si>
  <si>
    <t xml:space="preserve">1. Пузанов Владислав </t>
  </si>
  <si>
    <t>Юноши 16 - 17 (14.03.2006)/17</t>
  </si>
  <si>
    <t>66,90</t>
  </si>
  <si>
    <t xml:space="preserve">Олимп </t>
  </si>
  <si>
    <t xml:space="preserve">Кошмин Матвей </t>
  </si>
  <si>
    <t xml:space="preserve">1. Кошмин Матвей </t>
  </si>
  <si>
    <t>Юноши 13 - 15 (13.07.2009)/14</t>
  </si>
  <si>
    <t>80,20</t>
  </si>
  <si>
    <t>67,5</t>
  </si>
  <si>
    <t xml:space="preserve">Копцев Никита </t>
  </si>
  <si>
    <t xml:space="preserve">1. Копцев Никита </t>
  </si>
  <si>
    <t>Юноши 16 - 17 (26.12.2005)/17</t>
  </si>
  <si>
    <t>77,40</t>
  </si>
  <si>
    <t>77,5</t>
  </si>
  <si>
    <t>82,5</t>
  </si>
  <si>
    <t>87,5</t>
  </si>
  <si>
    <t>150,0</t>
  </si>
  <si>
    <t>160,0</t>
  </si>
  <si>
    <t xml:space="preserve">Девушки </t>
  </si>
  <si>
    <t xml:space="preserve">Юноши 18 - 19 </t>
  </si>
  <si>
    <t xml:space="preserve">Юноши 16 - 17 </t>
  </si>
  <si>
    <t xml:space="preserve">Юноши </t>
  </si>
  <si>
    <t xml:space="preserve">Юноши 13 - 15 </t>
  </si>
  <si>
    <t>OPEN DIAMOND STARS CUP IPC/IPC-A/WAA-2023
IPC-A Пауэрлифтинг без экипировки
Курск/Курская область 19 - 20 августа 2023 г.</t>
  </si>
  <si>
    <t>ВЕСОВАЯ КАТЕГОРИЯ   48</t>
  </si>
  <si>
    <t xml:space="preserve">Штень Ольга </t>
  </si>
  <si>
    <t xml:space="preserve">1. Штень Ольга </t>
  </si>
  <si>
    <t>Открытая (18.08.1985)/38</t>
  </si>
  <si>
    <t>44,50</t>
  </si>
  <si>
    <t xml:space="preserve">Русич </t>
  </si>
  <si>
    <t xml:space="preserve">Алексеевка/Белгородская область </t>
  </si>
  <si>
    <t>72,5</t>
  </si>
  <si>
    <t>ВЕСОВАЯ КАТЕГОРИЯ   56</t>
  </si>
  <si>
    <t xml:space="preserve">-. Шеховцова Карина </t>
  </si>
  <si>
    <t>Открытая (02.06.1993)/30</t>
  </si>
  <si>
    <t>55,40</t>
  </si>
  <si>
    <t xml:space="preserve">Белгород/Белгородская область </t>
  </si>
  <si>
    <t>92,5</t>
  </si>
  <si>
    <t xml:space="preserve">Серкова Елена </t>
  </si>
  <si>
    <t xml:space="preserve">1. Серкова Елена </t>
  </si>
  <si>
    <t>Девушки 13 - 15 (11.04.2008)/15</t>
  </si>
  <si>
    <t>58,60</t>
  </si>
  <si>
    <t>30,0</t>
  </si>
  <si>
    <t>40,0</t>
  </si>
  <si>
    <t xml:space="preserve">Онуприенко Наталья </t>
  </si>
  <si>
    <t xml:space="preserve">1. Онуприенко Наталья </t>
  </si>
  <si>
    <t>Ветераны 40 - 44 (31.07.1982)/41</t>
  </si>
  <si>
    <t>63,30</t>
  </si>
  <si>
    <t xml:space="preserve">Бороздина Кристина </t>
  </si>
  <si>
    <t xml:space="preserve">1. Бороздина Кристина </t>
  </si>
  <si>
    <t>Девушки 16 - 17 (05.01.2006)/17</t>
  </si>
  <si>
    <t>80,30</t>
  </si>
  <si>
    <t>102,5</t>
  </si>
  <si>
    <t>52,5</t>
  </si>
  <si>
    <t xml:space="preserve">Береговский Дмитрий </t>
  </si>
  <si>
    <t xml:space="preserve">1. Береговский Дмитрий </t>
  </si>
  <si>
    <t>Открытая (10.04.1996)/27</t>
  </si>
  <si>
    <t>65,60</t>
  </si>
  <si>
    <t>200,0</t>
  </si>
  <si>
    <t>ВЕСОВАЯ КАТЕГОРИЯ   75</t>
  </si>
  <si>
    <t xml:space="preserve">Толстых Константин </t>
  </si>
  <si>
    <t xml:space="preserve">1. Толстых Константин </t>
  </si>
  <si>
    <t>Юноши 13 - 15 (19.10.2007)/15</t>
  </si>
  <si>
    <t>73,40</t>
  </si>
  <si>
    <t>140,0</t>
  </si>
  <si>
    <t xml:space="preserve">Безбородых Александр </t>
  </si>
  <si>
    <t xml:space="preserve">1. Безбородых Александр </t>
  </si>
  <si>
    <t>Юноши 16 - 17 (25.07.2007)/16</t>
  </si>
  <si>
    <t>81,60</t>
  </si>
  <si>
    <t>180,0</t>
  </si>
  <si>
    <t>ВЕСОВАЯ КАТЕГОРИЯ   100</t>
  </si>
  <si>
    <t xml:space="preserve">Живица Иван </t>
  </si>
  <si>
    <t xml:space="preserve">1. Живица Иван </t>
  </si>
  <si>
    <t>Юноши 16 - 17 (08.07.2006)/17</t>
  </si>
  <si>
    <t>97,80</t>
  </si>
  <si>
    <t>48</t>
  </si>
  <si>
    <t xml:space="preserve">Ветераны 40 - 44 </t>
  </si>
  <si>
    <t>75</t>
  </si>
  <si>
    <t>100</t>
  </si>
  <si>
    <t>Результат</t>
  </si>
  <si>
    <t>OPEN DIAMOND STARS CUP IPC/IPC-A/WAA-2023
IPC-A Народный жим
Курск/Курская область 19 - 20 августа 2023 г.</t>
  </si>
  <si>
    <t>Народный жим</t>
  </si>
  <si>
    <t xml:space="preserve">Куцев Валентин </t>
  </si>
  <si>
    <t xml:space="preserve">1. Куцев Валентин </t>
  </si>
  <si>
    <t>Ветераны 65 - 69 (21.06.1955)/68</t>
  </si>
  <si>
    <t>97,60</t>
  </si>
  <si>
    <t>5,0</t>
  </si>
  <si>
    <t xml:space="preserve">Результат </t>
  </si>
  <si>
    <t xml:space="preserve">Ветераны 65 - 69 </t>
  </si>
  <si>
    <t>OPEN DIAMOND STARS CUP IPC/IPC-A/WAA-2023
IPC Жим лежа без экипировки
Курск/Курская область 19 - 20 августа 2023 г.</t>
  </si>
  <si>
    <t>ВЕСОВАЯ КАТЕГОРИЯ   90</t>
  </si>
  <si>
    <t xml:space="preserve">Евдокимова Оксана </t>
  </si>
  <si>
    <t xml:space="preserve">1. Евдокимова Оксана </t>
  </si>
  <si>
    <t>Открытая (14.11.1980)/42</t>
  </si>
  <si>
    <t>83,80</t>
  </si>
  <si>
    <t xml:space="preserve">Sfera PRO </t>
  </si>
  <si>
    <t>90</t>
  </si>
  <si>
    <t>OPEN DIAMOND STARS CUP IPC/IPC-A/WAA-2023
IPC-A Жим лежа без экипировки
Курск/Курская область 19 - 20 августа 2023 г.</t>
  </si>
  <si>
    <t xml:space="preserve">Вислогузов Никита </t>
  </si>
  <si>
    <t xml:space="preserve">1. Вислогузов Никита </t>
  </si>
  <si>
    <t>Открытая (29.10.1990)/32</t>
  </si>
  <si>
    <t>64,40</t>
  </si>
  <si>
    <t xml:space="preserve">Сапелкин Степан </t>
  </si>
  <si>
    <t xml:space="preserve">-. Сапелкин Степан </t>
  </si>
  <si>
    <t>Юноши 13 - 15 (22.08.2007)/15</t>
  </si>
  <si>
    <t>71,10</t>
  </si>
  <si>
    <t xml:space="preserve">Одинцов Олег </t>
  </si>
  <si>
    <t xml:space="preserve">1. Одинцов Олег </t>
  </si>
  <si>
    <t>Открытая (14.08.1991)/32</t>
  </si>
  <si>
    <t>81,10</t>
  </si>
  <si>
    <t>127,5</t>
  </si>
  <si>
    <t xml:space="preserve">Скокин Виктор </t>
  </si>
  <si>
    <t xml:space="preserve">1. Скокин Виктор </t>
  </si>
  <si>
    <t>Ветераны 65 - 69 (20.06.1957)/66</t>
  </si>
  <si>
    <t xml:space="preserve">Воскресенск/Московская область </t>
  </si>
  <si>
    <t xml:space="preserve">Телешин Максим </t>
  </si>
  <si>
    <t xml:space="preserve">1. Телешин Максим </t>
  </si>
  <si>
    <t>Открытая (12.07.1993)/30</t>
  </si>
  <si>
    <t>96,30</t>
  </si>
  <si>
    <t>165,0</t>
  </si>
  <si>
    <t xml:space="preserve">Прозоров Андрей </t>
  </si>
  <si>
    <t xml:space="preserve">1. Прозоров Андрей </t>
  </si>
  <si>
    <t>Ветераны 40 - 44 (11.06.1983)/40</t>
  </si>
  <si>
    <t>95,30</t>
  </si>
  <si>
    <t xml:space="preserve">Железногорск/Курская область </t>
  </si>
  <si>
    <t>ВЕСОВАЯ КАТЕГОРИЯ   110</t>
  </si>
  <si>
    <t xml:space="preserve">Мотинов Алексей </t>
  </si>
  <si>
    <t xml:space="preserve">1. Мотинов Алексей </t>
  </si>
  <si>
    <t>Открытая (06.11.1989)/33</t>
  </si>
  <si>
    <t>102,60</t>
  </si>
  <si>
    <t xml:space="preserve">Курск </t>
  </si>
  <si>
    <t>210,0</t>
  </si>
  <si>
    <t>ВЕСОВАЯ КАТЕГОРИЯ   140+</t>
  </si>
  <si>
    <t xml:space="preserve">Чернышев Алексей </t>
  </si>
  <si>
    <t xml:space="preserve">1. Чернышев Алексей </t>
  </si>
  <si>
    <t>Саб. мастера 33 - 39 (03.07.1986)/37</t>
  </si>
  <si>
    <t>152,20</t>
  </si>
  <si>
    <t>187,5</t>
  </si>
  <si>
    <t>110</t>
  </si>
  <si>
    <t xml:space="preserve">Саб. </t>
  </si>
  <si>
    <t xml:space="preserve">Саб. мастера 33 - 39 </t>
  </si>
  <si>
    <t>140+</t>
  </si>
  <si>
    <t>OPEN DIAMOND STARS CUP IPC/IPC-A/WAA-2023
IPC-A Жим лежа в стандартной  софт-экипировке
Курск/Курская область 19 - 20 августа 2023 г.</t>
  </si>
  <si>
    <t xml:space="preserve">Костенников Олег </t>
  </si>
  <si>
    <t xml:space="preserve">1. Костенников Олег </t>
  </si>
  <si>
    <t>Открытая (24.01.1966)/57</t>
  </si>
  <si>
    <t>102,80</t>
  </si>
  <si>
    <t>Ветераны 55 - 59 (24.01.1966)/57</t>
  </si>
  <si>
    <t>OPEN DIAMOND STARS CUP IPC/IPC-A/WAA-2023
IPC Становая тяга без экипировки
Курск/Курская область 19 - 20 августа 2023 г.</t>
  </si>
  <si>
    <t xml:space="preserve">Алферов Алексей </t>
  </si>
  <si>
    <t xml:space="preserve">1. Алферов Алексей </t>
  </si>
  <si>
    <t>Открытая (10.11.1986)/36</t>
  </si>
  <si>
    <t>81,00</t>
  </si>
  <si>
    <t xml:space="preserve">WestGum </t>
  </si>
  <si>
    <t xml:space="preserve">Ломакин Дмитрий </t>
  </si>
  <si>
    <t xml:space="preserve">1. Ломакин Дмитрий </t>
  </si>
  <si>
    <t>Открытая (03.03.1992)/31</t>
  </si>
  <si>
    <t>260,0</t>
  </si>
  <si>
    <t>277,5</t>
  </si>
  <si>
    <t>285,0</t>
  </si>
  <si>
    <t xml:space="preserve">Жебенев Дмитрий </t>
  </si>
  <si>
    <t xml:space="preserve">1. Жебенев Дмитрий </t>
  </si>
  <si>
    <t>Открытая (14.08.1994)/29</t>
  </si>
  <si>
    <t>103,10</t>
  </si>
  <si>
    <t>OPEN DIAMOND STARS CUP IPC/IPC-A/WAA-2023
IPC Строгий подъем на бицепс
Курск/Курская область 19 - 20 августа 2023 г.</t>
  </si>
  <si>
    <t>Подъем на бицепс</t>
  </si>
  <si>
    <t xml:space="preserve">Забугин Дмитрий </t>
  </si>
  <si>
    <t xml:space="preserve">1. Забугин Дмитрий </t>
  </si>
  <si>
    <t>Открытая (29.04.1997)/26</t>
  </si>
  <si>
    <t>98,30</t>
  </si>
  <si>
    <t>OPEN DIAMOND STARS CUP IPC/IPC-A/WAA-2023
IPC-A Становая тяга без экипировки
Курск/Курская область 19 - 20 августа 2023 г.</t>
  </si>
  <si>
    <t>205,0</t>
  </si>
  <si>
    <t>OPEN DIAMOND STARS CUP IPC/IPC-A/WAA-2023
IPC-A Строгий подъем на бицепс
Курск/Курская область 19 - 20 августа 2023 г.</t>
  </si>
  <si>
    <t>ВЕСОВАЯ КАТЕГОРИЯ   52</t>
  </si>
  <si>
    <t xml:space="preserve">Чеботарев Василий </t>
  </si>
  <si>
    <t xml:space="preserve">1. Чеботарев Василий </t>
  </si>
  <si>
    <t>Открытая (06.08.1992)/31</t>
  </si>
  <si>
    <t>49,40</t>
  </si>
  <si>
    <t>35,0</t>
  </si>
  <si>
    <t>37,5</t>
  </si>
  <si>
    <t xml:space="preserve">1. Сапелкин Степан </t>
  </si>
  <si>
    <t>52</t>
  </si>
  <si>
    <t>OPEN DIAMOND STARS CUP IPC/IPC-A/WAA-2023
IPС Силовое двоеборье в экипировке
Курск/Курская область 19 - 20 августа 2023 г.</t>
  </si>
  <si>
    <t xml:space="preserve">Гостева Валентина </t>
  </si>
  <si>
    <t xml:space="preserve">1. Гостева Валентина </t>
  </si>
  <si>
    <t>Ветераны 65 - 69 (07.08.1955)/68</t>
  </si>
  <si>
    <t>50,40</t>
  </si>
  <si>
    <t>OPEN DIAMOND STARS CUP IPC/IPC-A/WAA-2023
IPС-A Силовое двоеборье без экипировки
Курск/Курская область 19 - 20 августа 2023 г.</t>
  </si>
  <si>
    <t xml:space="preserve">Савин Максим </t>
  </si>
  <si>
    <t xml:space="preserve">1. Савин Максим </t>
  </si>
  <si>
    <t>Юноши 13 - 15 (27.12.2007)/15</t>
  </si>
  <si>
    <t>84,70</t>
  </si>
  <si>
    <t>155,0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</si>
</sst>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A3" sqref="A3:A4"/>
    </sheetView>
  </sheetViews>
  <sheetFormatPr defaultColWidth="9.109375" defaultRowHeight="13.2" x14ac:dyDescent="0.25"/>
  <cols>
    <col min="1" max="1" width="25.88671875" style="4" bestFit="1" customWidth="1"/>
    <col min="2" max="2" width="27.88671875" style="4" customWidth="1"/>
    <col min="3" max="3" width="16.44140625" style="4" customWidth="1"/>
    <col min="4" max="4" width="6.5546875" style="5" bestFit="1" customWidth="1"/>
    <col min="5" max="5" width="23.6640625" style="4" bestFit="1" customWidth="1"/>
    <col min="6" max="6" width="21.109375" style="4" bestFit="1" customWidth="1"/>
    <col min="7" max="7" width="6.5546875" style="3" bestFit="1" customWidth="1"/>
    <col min="8" max="9" width="2.109375" style="3" bestFit="1" customWidth="1"/>
    <col min="10" max="10" width="4.88671875" style="3" bestFit="1" customWidth="1"/>
    <col min="11" max="13" width="2.109375" style="3" bestFit="1" customWidth="1"/>
    <col min="14" max="14" width="4.88671875" style="3" bestFit="1" customWidth="1"/>
    <col min="15" max="17" width="2.109375" style="3" bestFit="1" customWidth="1"/>
    <col min="18" max="18" width="4.88671875" style="3" bestFit="1" customWidth="1"/>
    <col min="19" max="19" width="5" style="3" bestFit="1" customWidth="1"/>
    <col min="20" max="20" width="10.44140625" style="3" bestFit="1" customWidth="1"/>
    <col min="21" max="21" width="5" style="3" bestFit="1" customWidth="1"/>
    <col min="22" max="22" width="10.44140625" style="3" bestFit="1" customWidth="1"/>
    <col min="23" max="23" width="7.88671875" style="8" bestFit="1" customWidth="1"/>
    <col min="24" max="24" width="8.5546875" style="9" bestFit="1" customWidth="1"/>
    <col min="25" max="25" width="23" style="4" bestFit="1" customWidth="1"/>
    <col min="26" max="16384" width="9.109375" style="3"/>
  </cols>
  <sheetData>
    <row r="1" spans="1:25" s="2" customFormat="1" ht="15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</row>
    <row r="2" spans="1:25" s="2" customFormat="1" ht="66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6</v>
      </c>
      <c r="E3" s="19" t="s">
        <v>4</v>
      </c>
      <c r="F3" s="19" t="s">
        <v>8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1" t="s">
        <v>1</v>
      </c>
      <c r="X3" s="11" t="s">
        <v>3</v>
      </c>
      <c r="Y3" s="24" t="s">
        <v>2</v>
      </c>
    </row>
    <row r="4" spans="1:25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0" t="s">
        <v>9</v>
      </c>
      <c r="T4" s="10" t="s">
        <v>10</v>
      </c>
      <c r="U4" s="10" t="s">
        <v>9</v>
      </c>
      <c r="V4" s="10" t="s">
        <v>10</v>
      </c>
      <c r="W4" s="12"/>
      <c r="X4" s="12"/>
      <c r="Y4" s="25"/>
    </row>
    <row r="5" spans="1:25" x14ac:dyDescent="0.25">
      <c r="G5" s="6"/>
    </row>
  </sheetData>
  <mergeCells count="15">
    <mergeCell ref="S3:T3"/>
    <mergeCell ref="U3:V3"/>
    <mergeCell ref="W3:W4"/>
    <mergeCell ref="X3:X4"/>
    <mergeCell ref="Y3:Y4"/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6" sqref="F16"/>
    </sheetView>
  </sheetViews>
  <sheetFormatPr defaultColWidth="9.109375" defaultRowHeight="13.2" x14ac:dyDescent="0.25"/>
  <cols>
    <col min="1" max="1" width="24.6640625" style="4" bestFit="1" customWidth="1"/>
    <col min="2" max="2" width="25.21875" style="4" bestFit="1" customWidth="1"/>
    <col min="3" max="3" width="14.88671875" style="4" bestFit="1" customWidth="1"/>
    <col min="4" max="4" width="11.88671875" style="5" bestFit="1" customWidth="1"/>
    <col min="5" max="5" width="21.77734375" style="4" bestFit="1" customWidth="1"/>
    <col min="6" max="6" width="24.88671875" style="4" bestFit="1" customWidth="1"/>
    <col min="7" max="10" width="4.5546875" style="3" customWidth="1"/>
    <col min="11" max="11" width="7.6640625" style="8" bestFit="1" customWidth="1"/>
    <col min="12" max="12" width="7.5546875" style="9" bestFit="1" customWidth="1"/>
    <col min="13" max="13" width="19.6640625" style="4" bestFit="1" customWidth="1"/>
    <col min="14" max="16384" width="9.109375" style="3"/>
  </cols>
  <sheetData>
    <row r="1" spans="1:13" s="2" customFormat="1" ht="28.95" customHeight="1" x14ac:dyDescent="0.25">
      <c r="A1" s="26" t="s">
        <v>216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217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43" t="s">
        <v>219</v>
      </c>
      <c r="B6" s="43" t="s">
        <v>220</v>
      </c>
      <c r="C6" s="43" t="s">
        <v>221</v>
      </c>
      <c r="D6" s="44" t="str">
        <f>"0,7790"</f>
        <v>0,7790</v>
      </c>
      <c r="E6" s="43" t="s">
        <v>222</v>
      </c>
      <c r="F6" s="43" t="s">
        <v>48</v>
      </c>
      <c r="G6" s="45" t="s">
        <v>120</v>
      </c>
      <c r="H6" s="46" t="s">
        <v>121</v>
      </c>
      <c r="I6" s="45" t="s">
        <v>135</v>
      </c>
      <c r="J6" s="46"/>
      <c r="K6" s="47" t="str">
        <f>"67,5"</f>
        <v>67,5</v>
      </c>
      <c r="L6" s="48" t="str">
        <f>"52,5859"</f>
        <v>52,5859</v>
      </c>
      <c r="M6" s="43" t="s">
        <v>44</v>
      </c>
    </row>
    <row r="8" spans="1:13" ht="15" x14ac:dyDescent="0.25">
      <c r="E8" s="49" t="s">
        <v>75</v>
      </c>
    </row>
    <row r="9" spans="1:13" ht="15" x14ac:dyDescent="0.25">
      <c r="E9" s="49" t="s">
        <v>76</v>
      </c>
    </row>
    <row r="10" spans="1:13" ht="15" x14ac:dyDescent="0.25">
      <c r="E10" s="49" t="s">
        <v>77</v>
      </c>
    </row>
    <row r="11" spans="1:13" ht="15" x14ac:dyDescent="0.25">
      <c r="E11" s="49" t="s">
        <v>78</v>
      </c>
    </row>
    <row r="12" spans="1:13" ht="15" x14ac:dyDescent="0.25">
      <c r="E12" s="49" t="s">
        <v>78</v>
      </c>
    </row>
    <row r="13" spans="1:13" ht="15" x14ac:dyDescent="0.25">
      <c r="E13" s="49" t="s">
        <v>79</v>
      </c>
    </row>
    <row r="14" spans="1:13" ht="15" x14ac:dyDescent="0.25">
      <c r="E14" s="49"/>
    </row>
    <row r="16" spans="1:13" ht="17.399999999999999" x14ac:dyDescent="0.3">
      <c r="A16" s="50" t="s">
        <v>80</v>
      </c>
      <c r="B16" s="50"/>
    </row>
    <row r="17" spans="1:5" ht="15.6" x14ac:dyDescent="0.3">
      <c r="A17" s="51" t="s">
        <v>81</v>
      </c>
      <c r="B17" s="51"/>
    </row>
    <row r="18" spans="1:5" ht="14.4" x14ac:dyDescent="0.3">
      <c r="A18" s="53"/>
      <c r="B18" s="54" t="s">
        <v>82</v>
      </c>
    </row>
    <row r="19" spans="1:5" ht="13.8" x14ac:dyDescent="0.25">
      <c r="A19" s="55" t="s">
        <v>83</v>
      </c>
      <c r="B19" s="55" t="s">
        <v>84</v>
      </c>
      <c r="C19" s="55" t="s">
        <v>85</v>
      </c>
      <c r="D19" s="56" t="s">
        <v>214</v>
      </c>
      <c r="E19" s="55" t="s">
        <v>87</v>
      </c>
    </row>
    <row r="20" spans="1:5" x14ac:dyDescent="0.25">
      <c r="A20" s="52" t="s">
        <v>218</v>
      </c>
      <c r="B20" s="4" t="s">
        <v>82</v>
      </c>
      <c r="C20" s="4" t="s">
        <v>223</v>
      </c>
      <c r="D20" s="57">
        <v>67.5</v>
      </c>
      <c r="E20" s="58">
        <v>52.585874497890501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9.88671875" style="4" bestFit="1" customWidth="1"/>
    <col min="3" max="3" width="14.88671875" style="4" bestFit="1" customWidth="1"/>
    <col min="4" max="4" width="11.88671875" style="5" bestFit="1" customWidth="1"/>
    <col min="5" max="5" width="21.77734375" style="4" bestFit="1" customWidth="1"/>
    <col min="6" max="6" width="23.33203125" style="4" bestFit="1" customWidth="1"/>
    <col min="7" max="7" width="5.5546875" style="3" customWidth="1"/>
    <col min="8" max="8" width="10" style="3" customWidth="1"/>
    <col min="9" max="9" width="7.6640625" style="8" bestFit="1" customWidth="1"/>
    <col min="10" max="10" width="8.5546875" style="9" bestFit="1" customWidth="1"/>
    <col min="11" max="11" width="8.33203125" style="4" bestFit="1" customWidth="1"/>
    <col min="12" max="16384" width="9.109375" style="3"/>
  </cols>
  <sheetData>
    <row r="1" spans="1:11" s="2" customFormat="1" ht="28.95" customHeight="1" x14ac:dyDescent="0.25">
      <c r="A1" s="26" t="s">
        <v>207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208</v>
      </c>
      <c r="H3" s="19"/>
      <c r="I3" s="11" t="s">
        <v>206</v>
      </c>
      <c r="J3" s="11" t="s">
        <v>3</v>
      </c>
      <c r="K3" s="24" t="s">
        <v>2</v>
      </c>
    </row>
    <row r="4" spans="1:11" s="1" customFormat="1" ht="21" customHeight="1" thickBot="1" x14ac:dyDescent="0.3">
      <c r="A4" s="21"/>
      <c r="B4" s="23"/>
      <c r="C4" s="23"/>
      <c r="D4" s="12"/>
      <c r="E4" s="23"/>
      <c r="F4" s="23"/>
      <c r="G4" s="10" t="s">
        <v>9</v>
      </c>
      <c r="H4" s="10" t="s">
        <v>10</v>
      </c>
      <c r="I4" s="12"/>
      <c r="J4" s="12"/>
      <c r="K4" s="25"/>
    </row>
    <row r="5" spans="1:11" ht="15.6" x14ac:dyDescent="0.3">
      <c r="A5" s="27" t="s">
        <v>197</v>
      </c>
      <c r="B5" s="28"/>
      <c r="C5" s="28"/>
      <c r="D5" s="28"/>
      <c r="E5" s="28"/>
      <c r="F5" s="28"/>
      <c r="G5" s="28"/>
      <c r="H5" s="28"/>
    </row>
    <row r="6" spans="1:11" x14ac:dyDescent="0.25">
      <c r="A6" s="43" t="s">
        <v>210</v>
      </c>
      <c r="B6" s="43" t="s">
        <v>211</v>
      </c>
      <c r="C6" s="43" t="s">
        <v>212</v>
      </c>
      <c r="D6" s="44" t="str">
        <f>"0,5875"</f>
        <v>0,5875</v>
      </c>
      <c r="E6" s="43" t="s">
        <v>130</v>
      </c>
      <c r="F6" s="43" t="s">
        <v>117</v>
      </c>
      <c r="G6" s="45" t="s">
        <v>40</v>
      </c>
      <c r="H6" s="45" t="s">
        <v>213</v>
      </c>
      <c r="I6" s="47" t="str">
        <f>"500,0"</f>
        <v>500,0</v>
      </c>
      <c r="J6" s="48" t="str">
        <f>"462,9106"</f>
        <v>462,9106</v>
      </c>
      <c r="K6" s="43" t="s">
        <v>42</v>
      </c>
    </row>
    <row r="8" spans="1:11" ht="15" x14ac:dyDescent="0.25">
      <c r="E8" s="49" t="s">
        <v>75</v>
      </c>
    </row>
    <row r="9" spans="1:11" ht="15" x14ac:dyDescent="0.25">
      <c r="E9" s="49" t="s">
        <v>76</v>
      </c>
    </row>
    <row r="10" spans="1:11" ht="15" x14ac:dyDescent="0.25">
      <c r="E10" s="49" t="s">
        <v>77</v>
      </c>
    </row>
    <row r="11" spans="1:11" ht="15" x14ac:dyDescent="0.25">
      <c r="E11" s="49" t="s">
        <v>78</v>
      </c>
    </row>
    <row r="12" spans="1:11" ht="15" x14ac:dyDescent="0.25">
      <c r="E12" s="49" t="s">
        <v>78</v>
      </c>
    </row>
    <row r="13" spans="1:11" ht="15" x14ac:dyDescent="0.25">
      <c r="E13" s="49" t="s">
        <v>79</v>
      </c>
    </row>
    <row r="14" spans="1:11" ht="15" x14ac:dyDescent="0.25">
      <c r="E14" s="49"/>
    </row>
    <row r="16" spans="1:11" ht="17.399999999999999" x14ac:dyDescent="0.3">
      <c r="A16" s="50" t="s">
        <v>80</v>
      </c>
      <c r="B16" s="50"/>
    </row>
    <row r="17" spans="1:5" ht="15.6" x14ac:dyDescent="0.3">
      <c r="A17" s="51" t="s">
        <v>90</v>
      </c>
      <c r="B17" s="51"/>
    </row>
    <row r="18" spans="1:5" ht="14.4" x14ac:dyDescent="0.3">
      <c r="A18" s="53"/>
      <c r="B18" s="54" t="s">
        <v>91</v>
      </c>
    </row>
    <row r="19" spans="1:5" ht="13.8" x14ac:dyDescent="0.25">
      <c r="A19" s="55" t="s">
        <v>83</v>
      </c>
      <c r="B19" s="55" t="s">
        <v>84</v>
      </c>
      <c r="C19" s="55" t="s">
        <v>85</v>
      </c>
      <c r="D19" s="56" t="s">
        <v>214</v>
      </c>
      <c r="E19" s="55" t="s">
        <v>87</v>
      </c>
    </row>
    <row r="20" spans="1:5" x14ac:dyDescent="0.25">
      <c r="A20" s="52" t="s">
        <v>209</v>
      </c>
      <c r="B20" s="4" t="s">
        <v>215</v>
      </c>
      <c r="C20" s="4" t="s">
        <v>205</v>
      </c>
      <c r="D20" s="57">
        <v>500</v>
      </c>
      <c r="E20" s="58">
        <v>462.91062164306601</v>
      </c>
    </row>
  </sheetData>
  <mergeCells count="12"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A4"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9.88671875" style="4" bestFit="1" customWidth="1"/>
    <col min="3" max="3" width="14.88671875" style="4" bestFit="1" customWidth="1"/>
    <col min="4" max="4" width="8.21875" style="5" bestFit="1" customWidth="1"/>
    <col min="5" max="5" width="21.77734375" style="4" bestFit="1" customWidth="1"/>
    <col min="6" max="6" width="32" style="4" bestFit="1" customWidth="1"/>
    <col min="7" max="9" width="5.5546875" style="3" customWidth="1"/>
    <col min="10" max="10" width="4.5546875" style="3" customWidth="1"/>
    <col min="11" max="13" width="5.5546875" style="3" customWidth="1"/>
    <col min="14" max="14" width="4.5546875" style="3" customWidth="1"/>
    <col min="15" max="17" width="5.5546875" style="3" customWidth="1"/>
    <col min="18" max="18" width="4.5546875" style="3" customWidth="1"/>
    <col min="19" max="19" width="7.6640625" style="8" bestFit="1" customWidth="1"/>
    <col min="20" max="20" width="8.5546875" style="9" bestFit="1" customWidth="1"/>
    <col min="21" max="21" width="8.33203125" style="4" bestFit="1" customWidth="1"/>
    <col min="22" max="16384" width="9.109375" style="3"/>
  </cols>
  <sheetData>
    <row r="1" spans="1:21" s="2" customFormat="1" ht="28.95" customHeight="1" x14ac:dyDescent="0.25">
      <c r="A1" s="26" t="s">
        <v>150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</v>
      </c>
      <c r="H3" s="19"/>
      <c r="I3" s="19"/>
      <c r="J3" s="19"/>
      <c r="K3" s="19" t="s">
        <v>15</v>
      </c>
      <c r="L3" s="19"/>
      <c r="M3" s="19"/>
      <c r="N3" s="19"/>
      <c r="O3" s="19" t="s">
        <v>16</v>
      </c>
      <c r="P3" s="19"/>
      <c r="Q3" s="19"/>
      <c r="R3" s="19"/>
      <c r="S3" s="11" t="s">
        <v>1</v>
      </c>
      <c r="T3" s="11" t="s">
        <v>3</v>
      </c>
      <c r="U3" s="24" t="s">
        <v>2</v>
      </c>
    </row>
    <row r="4" spans="1:21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2"/>
      <c r="T4" s="12"/>
      <c r="U4" s="25"/>
    </row>
    <row r="5" spans="1:21" ht="15.6" x14ac:dyDescent="0.3">
      <c r="A5" s="27" t="s">
        <v>151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 x14ac:dyDescent="0.25">
      <c r="A6" s="43" t="s">
        <v>153</v>
      </c>
      <c r="B6" s="43" t="s">
        <v>154</v>
      </c>
      <c r="C6" s="43" t="s">
        <v>155</v>
      </c>
      <c r="D6" s="44" t="str">
        <f>"1,2477"</f>
        <v>1,2477</v>
      </c>
      <c r="E6" s="43" t="s">
        <v>156</v>
      </c>
      <c r="F6" s="43" t="s">
        <v>157</v>
      </c>
      <c r="G6" s="45" t="s">
        <v>121</v>
      </c>
      <c r="H6" s="45" t="s">
        <v>60</v>
      </c>
      <c r="I6" s="45" t="s">
        <v>37</v>
      </c>
      <c r="J6" s="46"/>
      <c r="K6" s="45" t="s">
        <v>39</v>
      </c>
      <c r="L6" s="45" t="s">
        <v>28</v>
      </c>
      <c r="M6" s="45" t="s">
        <v>29</v>
      </c>
      <c r="N6" s="46"/>
      <c r="O6" s="45" t="s">
        <v>158</v>
      </c>
      <c r="P6" s="45" t="s">
        <v>141</v>
      </c>
      <c r="Q6" s="45" t="s">
        <v>24</v>
      </c>
      <c r="R6" s="46"/>
      <c r="S6" s="47" t="str">
        <f>"220,0"</f>
        <v>220,0</v>
      </c>
      <c r="T6" s="48" t="str">
        <f>"274,4940"</f>
        <v>274,4940</v>
      </c>
      <c r="U6" s="43" t="s">
        <v>42</v>
      </c>
    </row>
    <row r="8" spans="1:21" ht="15.6" x14ac:dyDescent="0.3">
      <c r="A8" s="41" t="s">
        <v>159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 x14ac:dyDescent="0.25">
      <c r="A9" s="43" t="s">
        <v>160</v>
      </c>
      <c r="B9" s="43" t="s">
        <v>161</v>
      </c>
      <c r="C9" s="43" t="s">
        <v>162</v>
      </c>
      <c r="D9" s="44" t="str">
        <f>"1,0530"</f>
        <v>1,0530</v>
      </c>
      <c r="E9" s="43" t="s">
        <v>22</v>
      </c>
      <c r="F9" s="43" t="s">
        <v>163</v>
      </c>
      <c r="G9" s="45" t="s">
        <v>142</v>
      </c>
      <c r="H9" s="45" t="s">
        <v>164</v>
      </c>
      <c r="I9" s="46" t="s">
        <v>26</v>
      </c>
      <c r="J9" s="46"/>
      <c r="K9" s="46" t="s">
        <v>28</v>
      </c>
      <c r="L9" s="46" t="s">
        <v>28</v>
      </c>
      <c r="M9" s="46" t="s">
        <v>28</v>
      </c>
      <c r="N9" s="46"/>
      <c r="O9" s="46" t="s">
        <v>40</v>
      </c>
      <c r="P9" s="46"/>
      <c r="Q9" s="46"/>
      <c r="R9" s="46"/>
      <c r="S9" s="47" t="str">
        <f>"0.00"</f>
        <v>0.00</v>
      </c>
      <c r="T9" s="48" t="str">
        <f>"0,0000"</f>
        <v>0,0000</v>
      </c>
      <c r="U9" s="43" t="s">
        <v>42</v>
      </c>
    </row>
    <row r="11" spans="1:21" ht="15.6" x14ac:dyDescent="0.3">
      <c r="A11" s="41" t="s">
        <v>17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1" x14ac:dyDescent="0.25">
      <c r="A12" s="43" t="s">
        <v>166</v>
      </c>
      <c r="B12" s="43" t="s">
        <v>167</v>
      </c>
      <c r="C12" s="43" t="s">
        <v>168</v>
      </c>
      <c r="D12" s="44" t="str">
        <f>"1,0065"</f>
        <v>1,0065</v>
      </c>
      <c r="E12" s="43" t="s">
        <v>22</v>
      </c>
      <c r="F12" s="43" t="s">
        <v>157</v>
      </c>
      <c r="G12" s="45" t="s">
        <v>29</v>
      </c>
      <c r="H12" s="45" t="s">
        <v>120</v>
      </c>
      <c r="I12" s="45" t="s">
        <v>100</v>
      </c>
      <c r="J12" s="46"/>
      <c r="K12" s="45" t="s">
        <v>169</v>
      </c>
      <c r="L12" s="45" t="s">
        <v>170</v>
      </c>
      <c r="M12" s="46" t="s">
        <v>29</v>
      </c>
      <c r="N12" s="46"/>
      <c r="O12" s="45" t="s">
        <v>29</v>
      </c>
      <c r="P12" s="45" t="s">
        <v>120</v>
      </c>
      <c r="Q12" s="45" t="s">
        <v>100</v>
      </c>
      <c r="R12" s="46"/>
      <c r="S12" s="47" t="str">
        <f>"180,0"</f>
        <v>180,0</v>
      </c>
      <c r="T12" s="48" t="str">
        <f>"181,1700"</f>
        <v>181,1700</v>
      </c>
      <c r="U12" s="43" t="s">
        <v>42</v>
      </c>
    </row>
    <row r="14" spans="1:21" ht="15.6" x14ac:dyDescent="0.3">
      <c r="A14" s="41" t="s">
        <v>43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21" x14ac:dyDescent="0.25">
      <c r="A15" s="43" t="s">
        <v>172</v>
      </c>
      <c r="B15" s="43" t="s">
        <v>173</v>
      </c>
      <c r="C15" s="43" t="s">
        <v>174</v>
      </c>
      <c r="D15" s="44" t="str">
        <f>"0,9463"</f>
        <v>0,9463</v>
      </c>
      <c r="E15" s="43" t="s">
        <v>156</v>
      </c>
      <c r="F15" s="43" t="s">
        <v>157</v>
      </c>
      <c r="G15" s="45" t="s">
        <v>100</v>
      </c>
      <c r="H15" s="45" t="s">
        <v>140</v>
      </c>
      <c r="I15" s="46" t="s">
        <v>141</v>
      </c>
      <c r="J15" s="46"/>
      <c r="K15" s="45" t="s">
        <v>28</v>
      </c>
      <c r="L15" s="45" t="s">
        <v>29</v>
      </c>
      <c r="M15" s="46" t="s">
        <v>119</v>
      </c>
      <c r="N15" s="46"/>
      <c r="O15" s="45" t="s">
        <v>37</v>
      </c>
      <c r="P15" s="45" t="s">
        <v>24</v>
      </c>
      <c r="Q15" s="45" t="s">
        <v>25</v>
      </c>
      <c r="R15" s="46"/>
      <c r="S15" s="47" t="str">
        <f>"222,5"</f>
        <v>222,5</v>
      </c>
      <c r="T15" s="48" t="str">
        <f>"212,6460"</f>
        <v>212,6460</v>
      </c>
      <c r="U15" s="43" t="s">
        <v>42</v>
      </c>
    </row>
    <row r="17" spans="1:21" ht="15.6" x14ac:dyDescent="0.3">
      <c r="A17" s="41" t="s">
        <v>63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x14ac:dyDescent="0.25">
      <c r="A18" s="43" t="s">
        <v>176</v>
      </c>
      <c r="B18" s="43" t="s">
        <v>177</v>
      </c>
      <c r="C18" s="43" t="s">
        <v>178</v>
      </c>
      <c r="D18" s="44" t="str">
        <f>"0,7998"</f>
        <v>0,7998</v>
      </c>
      <c r="E18" s="43" t="s">
        <v>105</v>
      </c>
      <c r="F18" s="43" t="s">
        <v>23</v>
      </c>
      <c r="G18" s="45" t="s">
        <v>25</v>
      </c>
      <c r="H18" s="45" t="s">
        <v>179</v>
      </c>
      <c r="I18" s="45" t="s">
        <v>41</v>
      </c>
      <c r="J18" s="46"/>
      <c r="K18" s="45" t="s">
        <v>28</v>
      </c>
      <c r="L18" s="46" t="s">
        <v>180</v>
      </c>
      <c r="M18" s="46" t="s">
        <v>180</v>
      </c>
      <c r="N18" s="46"/>
      <c r="O18" s="46" t="s">
        <v>52</v>
      </c>
      <c r="P18" s="45" t="s">
        <v>52</v>
      </c>
      <c r="Q18" s="45" t="s">
        <v>41</v>
      </c>
      <c r="R18" s="46"/>
      <c r="S18" s="47" t="str">
        <f>"267,5"</f>
        <v>267,5</v>
      </c>
      <c r="T18" s="48" t="str">
        <f>"213,9599"</f>
        <v>213,9599</v>
      </c>
      <c r="U18" s="43" t="s">
        <v>42</v>
      </c>
    </row>
    <row r="20" spans="1:21" ht="15.6" x14ac:dyDescent="0.3">
      <c r="A20" s="41" t="s">
        <v>43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21" x14ac:dyDescent="0.25">
      <c r="A21" s="43" t="s">
        <v>182</v>
      </c>
      <c r="B21" s="43" t="s">
        <v>183</v>
      </c>
      <c r="C21" s="43" t="s">
        <v>184</v>
      </c>
      <c r="D21" s="44" t="str">
        <f>"0,7671"</f>
        <v>0,7671</v>
      </c>
      <c r="E21" s="43" t="s">
        <v>22</v>
      </c>
      <c r="F21" s="43" t="s">
        <v>23</v>
      </c>
      <c r="G21" s="45" t="s">
        <v>62</v>
      </c>
      <c r="H21" s="46" t="s">
        <v>49</v>
      </c>
      <c r="I21" s="46"/>
      <c r="J21" s="46"/>
      <c r="K21" s="46" t="s">
        <v>179</v>
      </c>
      <c r="L21" s="45" t="s">
        <v>179</v>
      </c>
      <c r="M21" s="46" t="s">
        <v>41</v>
      </c>
      <c r="N21" s="46"/>
      <c r="O21" s="45" t="s">
        <v>69</v>
      </c>
      <c r="P21" s="45" t="s">
        <v>55</v>
      </c>
      <c r="Q21" s="46" t="s">
        <v>185</v>
      </c>
      <c r="R21" s="46"/>
      <c r="S21" s="47" t="str">
        <f>"422,5"</f>
        <v>422,5</v>
      </c>
      <c r="T21" s="48" t="str">
        <f>"324,0786"</f>
        <v>324,0786</v>
      </c>
      <c r="U21" s="43" t="s">
        <v>42</v>
      </c>
    </row>
    <row r="23" spans="1:21" ht="15.6" x14ac:dyDescent="0.3">
      <c r="A23" s="41" t="s">
        <v>186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21" x14ac:dyDescent="0.25">
      <c r="A24" s="43" t="s">
        <v>188</v>
      </c>
      <c r="B24" s="43" t="s">
        <v>189</v>
      </c>
      <c r="C24" s="43" t="s">
        <v>190</v>
      </c>
      <c r="D24" s="44" t="str">
        <f>"0,6998"</f>
        <v>0,6998</v>
      </c>
      <c r="E24" s="43" t="s">
        <v>156</v>
      </c>
      <c r="F24" s="43" t="s">
        <v>157</v>
      </c>
      <c r="G24" s="45" t="s">
        <v>31</v>
      </c>
      <c r="H24" s="45" t="s">
        <v>62</v>
      </c>
      <c r="I24" s="45" t="s">
        <v>191</v>
      </c>
      <c r="J24" s="46"/>
      <c r="K24" s="45" t="s">
        <v>37</v>
      </c>
      <c r="L24" s="46" t="s">
        <v>24</v>
      </c>
      <c r="M24" s="46" t="s">
        <v>24</v>
      </c>
      <c r="N24" s="46"/>
      <c r="O24" s="46" t="s">
        <v>53</v>
      </c>
      <c r="P24" s="46" t="s">
        <v>53</v>
      </c>
      <c r="Q24" s="45" t="s">
        <v>53</v>
      </c>
      <c r="R24" s="46"/>
      <c r="S24" s="47" t="str">
        <f>"390,0"</f>
        <v>390,0</v>
      </c>
      <c r="T24" s="48" t="str">
        <f>"272,9025"</f>
        <v>272,9025</v>
      </c>
      <c r="U24" s="43" t="s">
        <v>42</v>
      </c>
    </row>
    <row r="26" spans="1:21" ht="15.6" x14ac:dyDescent="0.3">
      <c r="A26" s="41" t="s">
        <v>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193</v>
      </c>
      <c r="B27" s="43" t="s">
        <v>194</v>
      </c>
      <c r="C27" s="43" t="s">
        <v>195</v>
      </c>
      <c r="D27" s="44" t="str">
        <f>"0,6492"</f>
        <v>0,6492</v>
      </c>
      <c r="E27" s="43" t="s">
        <v>156</v>
      </c>
      <c r="F27" s="43" t="s">
        <v>157</v>
      </c>
      <c r="G27" s="45" t="s">
        <v>144</v>
      </c>
      <c r="H27" s="45" t="s">
        <v>196</v>
      </c>
      <c r="I27" s="46" t="s">
        <v>185</v>
      </c>
      <c r="J27" s="46"/>
      <c r="K27" s="45" t="s">
        <v>24</v>
      </c>
      <c r="L27" s="45" t="s">
        <v>40</v>
      </c>
      <c r="M27" s="46" t="s">
        <v>52</v>
      </c>
      <c r="N27" s="46"/>
      <c r="O27" s="45" t="s">
        <v>144</v>
      </c>
      <c r="P27" s="45" t="s">
        <v>196</v>
      </c>
      <c r="Q27" s="46" t="s">
        <v>55</v>
      </c>
      <c r="R27" s="46"/>
      <c r="S27" s="47" t="str">
        <f>"460,0"</f>
        <v>460,0</v>
      </c>
      <c r="T27" s="48" t="str">
        <f>"298,6550"</f>
        <v>298,6550</v>
      </c>
      <c r="U27" s="43" t="s">
        <v>42</v>
      </c>
    </row>
    <row r="29" spans="1:21" ht="15.6" x14ac:dyDescent="0.3">
      <c r="A29" s="41" t="s">
        <v>197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43" t="s">
        <v>199</v>
      </c>
      <c r="B30" s="43" t="s">
        <v>200</v>
      </c>
      <c r="C30" s="43" t="s">
        <v>201</v>
      </c>
      <c r="D30" s="44" t="str">
        <f>"0,5870"</f>
        <v>0,5870</v>
      </c>
      <c r="E30" s="43" t="s">
        <v>156</v>
      </c>
      <c r="F30" s="43" t="s">
        <v>157</v>
      </c>
      <c r="G30" s="45" t="s">
        <v>61</v>
      </c>
      <c r="H30" s="45" t="s">
        <v>49</v>
      </c>
      <c r="I30" s="45" t="s">
        <v>191</v>
      </c>
      <c r="J30" s="46"/>
      <c r="K30" s="45" t="s">
        <v>37</v>
      </c>
      <c r="L30" s="46" t="s">
        <v>38</v>
      </c>
      <c r="M30" s="46" t="s">
        <v>38</v>
      </c>
      <c r="N30" s="46"/>
      <c r="O30" s="45" t="s">
        <v>143</v>
      </c>
      <c r="P30" s="45" t="s">
        <v>144</v>
      </c>
      <c r="Q30" s="45" t="s">
        <v>53</v>
      </c>
      <c r="R30" s="46"/>
      <c r="S30" s="47" t="str">
        <f>"390,0"</f>
        <v>390,0</v>
      </c>
      <c r="T30" s="48" t="str">
        <f>"228,9105"</f>
        <v>228,9105</v>
      </c>
      <c r="U30" s="43" t="s">
        <v>42</v>
      </c>
    </row>
    <row r="32" spans="1:21" ht="15" x14ac:dyDescent="0.25">
      <c r="E32" s="49" t="s">
        <v>75</v>
      </c>
    </row>
    <row r="33" spans="1:5" ht="15" x14ac:dyDescent="0.25">
      <c r="E33" s="49" t="s">
        <v>76</v>
      </c>
    </row>
    <row r="34" spans="1:5" ht="15" x14ac:dyDescent="0.25">
      <c r="E34" s="49" t="s">
        <v>77</v>
      </c>
    </row>
    <row r="35" spans="1:5" ht="15" x14ac:dyDescent="0.25">
      <c r="E35" s="49" t="s">
        <v>78</v>
      </c>
    </row>
    <row r="36" spans="1:5" ht="15" x14ac:dyDescent="0.25">
      <c r="E36" s="49" t="s">
        <v>78</v>
      </c>
    </row>
    <row r="37" spans="1:5" ht="15" x14ac:dyDescent="0.25">
      <c r="E37" s="49" t="s">
        <v>79</v>
      </c>
    </row>
    <row r="38" spans="1:5" ht="15" x14ac:dyDescent="0.25">
      <c r="E38" s="49"/>
    </row>
    <row r="40" spans="1:5" ht="17.399999999999999" x14ac:dyDescent="0.3">
      <c r="A40" s="50" t="s">
        <v>80</v>
      </c>
      <c r="B40" s="50"/>
    </row>
    <row r="41" spans="1:5" ht="15.6" x14ac:dyDescent="0.3">
      <c r="A41" s="51" t="s">
        <v>81</v>
      </c>
      <c r="B41" s="51"/>
    </row>
    <row r="42" spans="1:5" ht="14.4" x14ac:dyDescent="0.3">
      <c r="A42" s="53"/>
      <c r="B42" s="54" t="s">
        <v>145</v>
      </c>
    </row>
    <row r="43" spans="1:5" ht="13.8" x14ac:dyDescent="0.25">
      <c r="A43" s="55" t="s">
        <v>83</v>
      </c>
      <c r="B43" s="55" t="s">
        <v>84</v>
      </c>
      <c r="C43" s="55" t="s">
        <v>85</v>
      </c>
      <c r="D43" s="56" t="s">
        <v>86</v>
      </c>
      <c r="E43" s="55" t="s">
        <v>87</v>
      </c>
    </row>
    <row r="44" spans="1:5" x14ac:dyDescent="0.25">
      <c r="A44" s="52" t="s">
        <v>175</v>
      </c>
      <c r="B44" s="4" t="s">
        <v>147</v>
      </c>
      <c r="C44" s="4" t="s">
        <v>93</v>
      </c>
      <c r="D44" s="57">
        <v>267.5</v>
      </c>
      <c r="E44" s="58">
        <v>213.95987153053301</v>
      </c>
    </row>
    <row r="45" spans="1:5" x14ac:dyDescent="0.25">
      <c r="A45" s="52" t="s">
        <v>165</v>
      </c>
      <c r="B45" s="4" t="s">
        <v>149</v>
      </c>
      <c r="C45" s="4" t="s">
        <v>89</v>
      </c>
      <c r="D45" s="57">
        <v>180</v>
      </c>
      <c r="E45" s="58">
        <v>181.17000102996801</v>
      </c>
    </row>
    <row r="47" spans="1:5" ht="14.4" x14ac:dyDescent="0.3">
      <c r="A47" s="53"/>
      <c r="B47" s="54" t="s">
        <v>82</v>
      </c>
    </row>
    <row r="48" spans="1:5" ht="13.8" x14ac:dyDescent="0.25">
      <c r="A48" s="55" t="s">
        <v>83</v>
      </c>
      <c r="B48" s="55" t="s">
        <v>84</v>
      </c>
      <c r="C48" s="55" t="s">
        <v>85</v>
      </c>
      <c r="D48" s="56" t="s">
        <v>86</v>
      </c>
      <c r="E48" s="55" t="s">
        <v>87</v>
      </c>
    </row>
    <row r="49" spans="1:5" x14ac:dyDescent="0.25">
      <c r="A49" s="52" t="s">
        <v>152</v>
      </c>
      <c r="B49" s="4" t="s">
        <v>82</v>
      </c>
      <c r="C49" s="4" t="s">
        <v>202</v>
      </c>
      <c r="D49" s="57">
        <v>220</v>
      </c>
      <c r="E49" s="58">
        <v>274.49399471282999</v>
      </c>
    </row>
    <row r="51" spans="1:5" ht="14.4" x14ac:dyDescent="0.3">
      <c r="A51" s="53"/>
      <c r="B51" s="54" t="s">
        <v>91</v>
      </c>
    </row>
    <row r="52" spans="1:5" ht="13.8" x14ac:dyDescent="0.25">
      <c r="A52" s="55" t="s">
        <v>83</v>
      </c>
      <c r="B52" s="55" t="s">
        <v>84</v>
      </c>
      <c r="C52" s="55" t="s">
        <v>85</v>
      </c>
      <c r="D52" s="56" t="s">
        <v>86</v>
      </c>
      <c r="E52" s="55" t="s">
        <v>87</v>
      </c>
    </row>
    <row r="53" spans="1:5" x14ac:dyDescent="0.25">
      <c r="A53" s="52" t="s">
        <v>171</v>
      </c>
      <c r="B53" s="4" t="s">
        <v>203</v>
      </c>
      <c r="C53" s="4" t="s">
        <v>88</v>
      </c>
      <c r="D53" s="57">
        <v>222.5</v>
      </c>
      <c r="E53" s="58">
        <v>212.64603607207499</v>
      </c>
    </row>
    <row r="56" spans="1:5" ht="15.6" x14ac:dyDescent="0.3">
      <c r="A56" s="51" t="s">
        <v>90</v>
      </c>
      <c r="B56" s="51"/>
    </row>
    <row r="57" spans="1:5" ht="14.4" x14ac:dyDescent="0.3">
      <c r="A57" s="53"/>
      <c r="B57" s="54" t="s">
        <v>148</v>
      </c>
    </row>
    <row r="58" spans="1:5" ht="13.8" x14ac:dyDescent="0.25">
      <c r="A58" s="55" t="s">
        <v>83</v>
      </c>
      <c r="B58" s="55" t="s">
        <v>84</v>
      </c>
      <c r="C58" s="55" t="s">
        <v>85</v>
      </c>
      <c r="D58" s="56" t="s">
        <v>86</v>
      </c>
      <c r="E58" s="55" t="s">
        <v>87</v>
      </c>
    </row>
    <row r="59" spans="1:5" x14ac:dyDescent="0.25">
      <c r="A59" s="52" t="s">
        <v>192</v>
      </c>
      <c r="B59" s="4" t="s">
        <v>147</v>
      </c>
      <c r="C59" s="4" t="s">
        <v>93</v>
      </c>
      <c r="D59" s="57">
        <v>460</v>
      </c>
      <c r="E59" s="58">
        <v>298.654986619949</v>
      </c>
    </row>
    <row r="60" spans="1:5" x14ac:dyDescent="0.25">
      <c r="A60" s="52" t="s">
        <v>187</v>
      </c>
      <c r="B60" s="4" t="s">
        <v>149</v>
      </c>
      <c r="C60" s="4" t="s">
        <v>204</v>
      </c>
      <c r="D60" s="57">
        <v>390</v>
      </c>
      <c r="E60" s="58">
        <v>272.90250241756399</v>
      </c>
    </row>
    <row r="61" spans="1:5" x14ac:dyDescent="0.25">
      <c r="A61" s="52" t="s">
        <v>198</v>
      </c>
      <c r="B61" s="4" t="s">
        <v>147</v>
      </c>
      <c r="C61" s="4" t="s">
        <v>205</v>
      </c>
      <c r="D61" s="57">
        <v>390</v>
      </c>
      <c r="E61" s="58">
        <v>228.910501599312</v>
      </c>
    </row>
    <row r="63" spans="1:5" ht="14.4" x14ac:dyDescent="0.3">
      <c r="A63" s="53"/>
      <c r="B63" s="54" t="s">
        <v>82</v>
      </c>
    </row>
    <row r="64" spans="1:5" ht="13.8" x14ac:dyDescent="0.25">
      <c r="A64" s="55" t="s">
        <v>83</v>
      </c>
      <c r="B64" s="55" t="s">
        <v>84</v>
      </c>
      <c r="C64" s="55" t="s">
        <v>85</v>
      </c>
      <c r="D64" s="56" t="s">
        <v>86</v>
      </c>
      <c r="E64" s="55" t="s">
        <v>87</v>
      </c>
    </row>
    <row r="65" spans="1:5" x14ac:dyDescent="0.25">
      <c r="A65" s="52" t="s">
        <v>181</v>
      </c>
      <c r="B65" s="4" t="s">
        <v>82</v>
      </c>
      <c r="C65" s="4" t="s">
        <v>88</v>
      </c>
      <c r="D65" s="57">
        <v>422.5</v>
      </c>
      <c r="E65" s="58">
        <v>324.07863676547998</v>
      </c>
    </row>
  </sheetData>
  <mergeCells count="22">
    <mergeCell ref="A26:R26"/>
    <mergeCell ref="A29:R29"/>
    <mergeCell ref="A8:R8"/>
    <mergeCell ref="A11:R11"/>
    <mergeCell ref="A14:R14"/>
    <mergeCell ref="A17:R17"/>
    <mergeCell ref="A20:R20"/>
    <mergeCell ref="A23:R23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9" style="4" bestFit="1" customWidth="1"/>
    <col min="3" max="3" width="14.88671875" style="4" bestFit="1" customWidth="1"/>
    <col min="4" max="4" width="8.21875" style="5" bestFit="1" customWidth="1"/>
    <col min="5" max="5" width="21.77734375" style="4" bestFit="1" customWidth="1"/>
    <col min="6" max="6" width="23.33203125" style="4" bestFit="1" customWidth="1"/>
    <col min="7" max="9" width="5.5546875" style="3" customWidth="1"/>
    <col min="10" max="14" width="4.5546875" style="3" customWidth="1"/>
    <col min="15" max="17" width="5.5546875" style="3" customWidth="1"/>
    <col min="18" max="18" width="4.5546875" style="3" customWidth="1"/>
    <col min="19" max="19" width="7.6640625" style="8" bestFit="1" customWidth="1"/>
    <col min="20" max="20" width="8.5546875" style="9" bestFit="1" customWidth="1"/>
    <col min="21" max="21" width="16.44140625" style="4" bestFit="1" customWidth="1"/>
    <col min="22" max="16384" width="9.109375" style="3"/>
  </cols>
  <sheetData>
    <row r="1" spans="1:21" s="2" customFormat="1" ht="28.95" customHeight="1" x14ac:dyDescent="0.25">
      <c r="A1" s="26" t="s">
        <v>94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</v>
      </c>
      <c r="H3" s="19"/>
      <c r="I3" s="19"/>
      <c r="J3" s="19"/>
      <c r="K3" s="19" t="s">
        <v>15</v>
      </c>
      <c r="L3" s="19"/>
      <c r="M3" s="19"/>
      <c r="N3" s="19"/>
      <c r="O3" s="19" t="s">
        <v>16</v>
      </c>
      <c r="P3" s="19"/>
      <c r="Q3" s="19"/>
      <c r="R3" s="19"/>
      <c r="S3" s="11" t="s">
        <v>1</v>
      </c>
      <c r="T3" s="11" t="s">
        <v>3</v>
      </c>
      <c r="U3" s="24" t="s">
        <v>2</v>
      </c>
    </row>
    <row r="4" spans="1:21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2"/>
      <c r="T4" s="12"/>
      <c r="U4" s="25"/>
    </row>
    <row r="5" spans="1:21" ht="15.6" x14ac:dyDescent="0.3">
      <c r="A5" s="27" t="s">
        <v>17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 x14ac:dyDescent="0.25">
      <c r="A6" s="43" t="s">
        <v>96</v>
      </c>
      <c r="B6" s="43" t="s">
        <v>97</v>
      </c>
      <c r="C6" s="43" t="s">
        <v>98</v>
      </c>
      <c r="D6" s="44" t="str">
        <f>"1,0220"</f>
        <v>1,0220</v>
      </c>
      <c r="E6" s="43" t="s">
        <v>99</v>
      </c>
      <c r="F6" s="43" t="s">
        <v>23</v>
      </c>
      <c r="G6" s="45" t="s">
        <v>100</v>
      </c>
      <c r="H6" s="45" t="s">
        <v>60</v>
      </c>
      <c r="I6" s="45" t="s">
        <v>37</v>
      </c>
      <c r="J6" s="46"/>
      <c r="K6" s="45" t="s">
        <v>39</v>
      </c>
      <c r="L6" s="45" t="s">
        <v>28</v>
      </c>
      <c r="M6" s="46" t="s">
        <v>29</v>
      </c>
      <c r="N6" s="46"/>
      <c r="O6" s="45" t="s">
        <v>38</v>
      </c>
      <c r="P6" s="45" t="s">
        <v>25</v>
      </c>
      <c r="Q6" s="46"/>
      <c r="R6" s="46"/>
      <c r="S6" s="47" t="str">
        <f>"222,5"</f>
        <v>222,5</v>
      </c>
      <c r="T6" s="48" t="str">
        <f>"227,3950"</f>
        <v>227,3950</v>
      </c>
      <c r="U6" s="43" t="s">
        <v>101</v>
      </c>
    </row>
    <row r="8" spans="1:21" ht="15.6" x14ac:dyDescent="0.3">
      <c r="A8" s="41" t="s">
        <v>43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 x14ac:dyDescent="0.25">
      <c r="A9" s="29" t="s">
        <v>103</v>
      </c>
      <c r="B9" s="29" t="s">
        <v>104</v>
      </c>
      <c r="C9" s="29" t="s">
        <v>47</v>
      </c>
      <c r="D9" s="30" t="str">
        <f>"0,9266"</f>
        <v>0,9266</v>
      </c>
      <c r="E9" s="29" t="s">
        <v>105</v>
      </c>
      <c r="F9" s="29" t="s">
        <v>23</v>
      </c>
      <c r="G9" s="31" t="s">
        <v>25</v>
      </c>
      <c r="H9" s="32" t="s">
        <v>40</v>
      </c>
      <c r="I9" s="31" t="s">
        <v>40</v>
      </c>
      <c r="J9" s="32"/>
      <c r="K9" s="31" t="s">
        <v>39</v>
      </c>
      <c r="L9" s="31" t="s">
        <v>28</v>
      </c>
      <c r="M9" s="31" t="s">
        <v>29</v>
      </c>
      <c r="N9" s="32"/>
      <c r="O9" s="31" t="s">
        <v>41</v>
      </c>
      <c r="P9" s="31" t="s">
        <v>72</v>
      </c>
      <c r="Q9" s="32" t="s">
        <v>106</v>
      </c>
      <c r="R9" s="32"/>
      <c r="S9" s="33" t="str">
        <f>"267,5"</f>
        <v>267,5</v>
      </c>
      <c r="T9" s="34" t="str">
        <f>"247,8789"</f>
        <v>247,8789</v>
      </c>
      <c r="U9" s="29" t="s">
        <v>95</v>
      </c>
    </row>
    <row r="10" spans="1:21" x14ac:dyDescent="0.25">
      <c r="A10" s="35" t="s">
        <v>108</v>
      </c>
      <c r="B10" s="35" t="s">
        <v>109</v>
      </c>
      <c r="C10" s="35" t="s">
        <v>110</v>
      </c>
      <c r="D10" s="36" t="str">
        <f>"0,9049"</f>
        <v>0,9049</v>
      </c>
      <c r="E10" s="35" t="s">
        <v>99</v>
      </c>
      <c r="F10" s="35" t="s">
        <v>23</v>
      </c>
      <c r="G10" s="37" t="s">
        <v>40</v>
      </c>
      <c r="H10" s="38" t="s">
        <v>111</v>
      </c>
      <c r="I10" s="38" t="s">
        <v>111</v>
      </c>
      <c r="J10" s="38"/>
      <c r="K10" s="37" t="s">
        <v>27</v>
      </c>
      <c r="L10" s="37" t="s">
        <v>28</v>
      </c>
      <c r="M10" s="38"/>
      <c r="N10" s="38"/>
      <c r="O10" s="37" t="s">
        <v>25</v>
      </c>
      <c r="P10" s="37" t="s">
        <v>40</v>
      </c>
      <c r="Q10" s="38"/>
      <c r="R10" s="38"/>
      <c r="S10" s="39" t="str">
        <f>"247,5"</f>
        <v>247,5</v>
      </c>
      <c r="T10" s="40" t="str">
        <f>"223,9628"</f>
        <v>223,9628</v>
      </c>
      <c r="U10" s="35" t="s">
        <v>95</v>
      </c>
    </row>
    <row r="12" spans="1:21" ht="15.6" x14ac:dyDescent="0.3">
      <c r="A12" s="41" t="s">
        <v>63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1" x14ac:dyDescent="0.25">
      <c r="A13" s="29" t="s">
        <v>113</v>
      </c>
      <c r="B13" s="29" t="s">
        <v>114</v>
      </c>
      <c r="C13" s="29" t="s">
        <v>115</v>
      </c>
      <c r="D13" s="30" t="str">
        <f>"0,7962"</f>
        <v>0,7962</v>
      </c>
      <c r="E13" s="29" t="s">
        <v>116</v>
      </c>
      <c r="F13" s="29" t="s">
        <v>117</v>
      </c>
      <c r="G13" s="31" t="s">
        <v>61</v>
      </c>
      <c r="H13" s="31" t="s">
        <v>62</v>
      </c>
      <c r="I13" s="32" t="s">
        <v>118</v>
      </c>
      <c r="J13" s="32"/>
      <c r="K13" s="31" t="s">
        <v>119</v>
      </c>
      <c r="L13" s="31" t="s">
        <v>120</v>
      </c>
      <c r="M13" s="31" t="s">
        <v>121</v>
      </c>
      <c r="N13" s="32"/>
      <c r="O13" s="31" t="s">
        <v>61</v>
      </c>
      <c r="P13" s="31" t="s">
        <v>49</v>
      </c>
      <c r="Q13" s="32" t="s">
        <v>50</v>
      </c>
      <c r="R13" s="32"/>
      <c r="S13" s="33" t="str">
        <f>"330,0"</f>
        <v>330,0</v>
      </c>
      <c r="T13" s="34" t="str">
        <f>"262,7295"</f>
        <v>262,7295</v>
      </c>
      <c r="U13" s="29" t="s">
        <v>42</v>
      </c>
    </row>
    <row r="14" spans="1:21" x14ac:dyDescent="0.25">
      <c r="A14" s="35" t="s">
        <v>123</v>
      </c>
      <c r="B14" s="35" t="s">
        <v>124</v>
      </c>
      <c r="C14" s="35" t="s">
        <v>125</v>
      </c>
      <c r="D14" s="36" t="str">
        <f>"0,8109"</f>
        <v>0,8109</v>
      </c>
      <c r="E14" s="35" t="s">
        <v>22</v>
      </c>
      <c r="F14" s="35" t="s">
        <v>23</v>
      </c>
      <c r="G14" s="37" t="s">
        <v>24</v>
      </c>
      <c r="H14" s="37" t="s">
        <v>25</v>
      </c>
      <c r="I14" s="38" t="s">
        <v>40</v>
      </c>
      <c r="J14" s="38"/>
      <c r="K14" s="37" t="s">
        <v>39</v>
      </c>
      <c r="L14" s="37" t="s">
        <v>28</v>
      </c>
      <c r="M14" s="38"/>
      <c r="N14" s="38"/>
      <c r="O14" s="37" t="s">
        <v>71</v>
      </c>
      <c r="P14" s="38" t="s">
        <v>72</v>
      </c>
      <c r="Q14" s="37" t="s">
        <v>72</v>
      </c>
      <c r="R14" s="38"/>
      <c r="S14" s="39" t="str">
        <f>"260,0"</f>
        <v>260,0</v>
      </c>
      <c r="T14" s="40" t="str">
        <f>"210,8210"</f>
        <v>210,8210</v>
      </c>
      <c r="U14" s="35" t="s">
        <v>42</v>
      </c>
    </row>
    <row r="16" spans="1:21" ht="15.6" x14ac:dyDescent="0.3">
      <c r="A16" s="41" t="s">
        <v>43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21" x14ac:dyDescent="0.25">
      <c r="A17" s="43" t="s">
        <v>127</v>
      </c>
      <c r="B17" s="43" t="s">
        <v>128</v>
      </c>
      <c r="C17" s="43" t="s">
        <v>129</v>
      </c>
      <c r="D17" s="44" t="str">
        <f>"0,7541"</f>
        <v>0,7541</v>
      </c>
      <c r="E17" s="43" t="s">
        <v>130</v>
      </c>
      <c r="F17" s="43" t="s">
        <v>117</v>
      </c>
      <c r="G17" s="45" t="s">
        <v>31</v>
      </c>
      <c r="H17" s="45" t="s">
        <v>61</v>
      </c>
      <c r="I17" s="45" t="s">
        <v>62</v>
      </c>
      <c r="J17" s="46"/>
      <c r="K17" s="45" t="s">
        <v>100</v>
      </c>
      <c r="L17" s="45" t="s">
        <v>60</v>
      </c>
      <c r="M17" s="45" t="s">
        <v>37</v>
      </c>
      <c r="N17" s="46"/>
      <c r="O17" s="45" t="s">
        <v>30</v>
      </c>
      <c r="P17" s="45" t="s">
        <v>61</v>
      </c>
      <c r="Q17" s="45" t="s">
        <v>49</v>
      </c>
      <c r="R17" s="46"/>
      <c r="S17" s="47" t="str">
        <f>"345,0"</f>
        <v>345,0</v>
      </c>
      <c r="T17" s="48" t="str">
        <f>"260,1817"</f>
        <v>260,1817</v>
      </c>
      <c r="U17" s="43" t="s">
        <v>42</v>
      </c>
    </row>
    <row r="19" spans="1:21" ht="15.6" x14ac:dyDescent="0.3">
      <c r="A19" s="41" t="s">
        <v>63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21" x14ac:dyDescent="0.25">
      <c r="A20" s="29" t="s">
        <v>132</v>
      </c>
      <c r="B20" s="29" t="s">
        <v>133</v>
      </c>
      <c r="C20" s="29" t="s">
        <v>134</v>
      </c>
      <c r="D20" s="30" t="str">
        <f>"0,6567"</f>
        <v>0,6567</v>
      </c>
      <c r="E20" s="29" t="s">
        <v>130</v>
      </c>
      <c r="F20" s="29" t="s">
        <v>117</v>
      </c>
      <c r="G20" s="31" t="s">
        <v>40</v>
      </c>
      <c r="H20" s="31" t="s">
        <v>111</v>
      </c>
      <c r="I20" s="32" t="s">
        <v>30</v>
      </c>
      <c r="J20" s="32"/>
      <c r="K20" s="31" t="s">
        <v>120</v>
      </c>
      <c r="L20" s="31" t="s">
        <v>135</v>
      </c>
      <c r="M20" s="32" t="s">
        <v>100</v>
      </c>
      <c r="N20" s="32"/>
      <c r="O20" s="31" t="s">
        <v>40</v>
      </c>
      <c r="P20" s="31" t="s">
        <v>30</v>
      </c>
      <c r="Q20" s="31" t="s">
        <v>61</v>
      </c>
      <c r="R20" s="32"/>
      <c r="S20" s="33" t="str">
        <f>"300,0"</f>
        <v>300,0</v>
      </c>
      <c r="T20" s="34" t="str">
        <f>"197,0100"</f>
        <v>197,0100</v>
      </c>
      <c r="U20" s="29" t="s">
        <v>42</v>
      </c>
    </row>
    <row r="21" spans="1:21" x14ac:dyDescent="0.25">
      <c r="A21" s="35" t="s">
        <v>137</v>
      </c>
      <c r="B21" s="35" t="s">
        <v>138</v>
      </c>
      <c r="C21" s="35" t="s">
        <v>139</v>
      </c>
      <c r="D21" s="36" t="str">
        <f>"0,6730"</f>
        <v>0,6730</v>
      </c>
      <c r="E21" s="35" t="s">
        <v>99</v>
      </c>
      <c r="F21" s="35" t="s">
        <v>23</v>
      </c>
      <c r="G21" s="37" t="s">
        <v>71</v>
      </c>
      <c r="H21" s="37" t="s">
        <v>31</v>
      </c>
      <c r="I21" s="38" t="s">
        <v>61</v>
      </c>
      <c r="J21" s="38"/>
      <c r="K21" s="37" t="s">
        <v>140</v>
      </c>
      <c r="L21" s="37" t="s">
        <v>141</v>
      </c>
      <c r="M21" s="38" t="s">
        <v>142</v>
      </c>
      <c r="N21" s="38"/>
      <c r="O21" s="37" t="s">
        <v>143</v>
      </c>
      <c r="P21" s="37" t="s">
        <v>144</v>
      </c>
      <c r="Q21" s="37" t="s">
        <v>53</v>
      </c>
      <c r="R21" s="38"/>
      <c r="S21" s="39" t="str">
        <f>"372,5"</f>
        <v>372,5</v>
      </c>
      <c r="T21" s="40" t="str">
        <f>"250,7111"</f>
        <v>250,7111</v>
      </c>
      <c r="U21" s="35" t="s">
        <v>95</v>
      </c>
    </row>
    <row r="23" spans="1:21" ht="15" x14ac:dyDescent="0.25">
      <c r="E23" s="49" t="s">
        <v>75</v>
      </c>
    </row>
    <row r="24" spans="1:21" ht="15" x14ac:dyDescent="0.25">
      <c r="E24" s="49" t="s">
        <v>76</v>
      </c>
    </row>
    <row r="25" spans="1:21" ht="15" x14ac:dyDescent="0.25">
      <c r="E25" s="49" t="s">
        <v>77</v>
      </c>
    </row>
    <row r="26" spans="1:21" ht="15" x14ac:dyDescent="0.25">
      <c r="E26" s="49" t="s">
        <v>78</v>
      </c>
    </row>
    <row r="27" spans="1:21" ht="15" x14ac:dyDescent="0.25">
      <c r="E27" s="49" t="s">
        <v>78</v>
      </c>
    </row>
    <row r="28" spans="1:21" ht="15" x14ac:dyDescent="0.25">
      <c r="E28" s="49" t="s">
        <v>79</v>
      </c>
    </row>
    <row r="29" spans="1:21" ht="15" x14ac:dyDescent="0.25">
      <c r="E29" s="49"/>
    </row>
    <row r="31" spans="1:21" ht="17.399999999999999" x14ac:dyDescent="0.3">
      <c r="A31" s="50" t="s">
        <v>80</v>
      </c>
      <c r="B31" s="50"/>
    </row>
    <row r="32" spans="1:21" ht="15.6" x14ac:dyDescent="0.3">
      <c r="A32" s="51" t="s">
        <v>81</v>
      </c>
      <c r="B32" s="51"/>
    </row>
    <row r="33" spans="1:5" ht="14.4" x14ac:dyDescent="0.3">
      <c r="A33" s="53"/>
      <c r="B33" s="54" t="s">
        <v>145</v>
      </c>
    </row>
    <row r="34" spans="1:5" ht="13.8" x14ac:dyDescent="0.25">
      <c r="A34" s="55" t="s">
        <v>83</v>
      </c>
      <c r="B34" s="55" t="s">
        <v>84</v>
      </c>
      <c r="C34" s="55" t="s">
        <v>85</v>
      </c>
      <c r="D34" s="56" t="s">
        <v>86</v>
      </c>
      <c r="E34" s="55" t="s">
        <v>87</v>
      </c>
    </row>
    <row r="35" spans="1:5" x14ac:dyDescent="0.25">
      <c r="A35" s="52" t="s">
        <v>112</v>
      </c>
      <c r="B35" s="4" t="s">
        <v>146</v>
      </c>
      <c r="C35" s="4" t="s">
        <v>93</v>
      </c>
      <c r="D35" s="57">
        <v>330</v>
      </c>
      <c r="E35" s="58">
        <v>262.72950947284698</v>
      </c>
    </row>
    <row r="36" spans="1:5" x14ac:dyDescent="0.25">
      <c r="A36" s="52" t="s">
        <v>102</v>
      </c>
      <c r="B36" s="4" t="s">
        <v>147</v>
      </c>
      <c r="C36" s="4" t="s">
        <v>88</v>
      </c>
      <c r="D36" s="57">
        <v>267.5</v>
      </c>
      <c r="E36" s="58">
        <v>247.87887170910801</v>
      </c>
    </row>
    <row r="38" spans="1:5" ht="14.4" x14ac:dyDescent="0.3">
      <c r="A38" s="53"/>
      <c r="B38" s="54" t="s">
        <v>82</v>
      </c>
    </row>
    <row r="39" spans="1:5" ht="13.8" x14ac:dyDescent="0.25">
      <c r="A39" s="55" t="s">
        <v>83</v>
      </c>
      <c r="B39" s="55" t="s">
        <v>84</v>
      </c>
      <c r="C39" s="55" t="s">
        <v>85</v>
      </c>
      <c r="D39" s="56" t="s">
        <v>86</v>
      </c>
      <c r="E39" s="55" t="s">
        <v>87</v>
      </c>
    </row>
    <row r="40" spans="1:5" x14ac:dyDescent="0.25">
      <c r="A40" s="52" t="s">
        <v>95</v>
      </c>
      <c r="B40" s="4" t="s">
        <v>82</v>
      </c>
      <c r="C40" s="4" t="s">
        <v>89</v>
      </c>
      <c r="D40" s="57">
        <v>222.5</v>
      </c>
      <c r="E40" s="58">
        <v>227.39499002695101</v>
      </c>
    </row>
    <row r="41" spans="1:5" x14ac:dyDescent="0.25">
      <c r="A41" s="52" t="s">
        <v>107</v>
      </c>
      <c r="B41" s="4" t="s">
        <v>82</v>
      </c>
      <c r="C41" s="4" t="s">
        <v>88</v>
      </c>
      <c r="D41" s="57">
        <v>247.5</v>
      </c>
      <c r="E41" s="58">
        <v>223.962753564119</v>
      </c>
    </row>
    <row r="42" spans="1:5" x14ac:dyDescent="0.25">
      <c r="A42" s="52" t="s">
        <v>122</v>
      </c>
      <c r="B42" s="4" t="s">
        <v>82</v>
      </c>
      <c r="C42" s="4" t="s">
        <v>93</v>
      </c>
      <c r="D42" s="57">
        <v>260</v>
      </c>
      <c r="E42" s="58">
        <v>210.82100629806499</v>
      </c>
    </row>
    <row r="45" spans="1:5" ht="15.6" x14ac:dyDescent="0.3">
      <c r="A45" s="51" t="s">
        <v>90</v>
      </c>
      <c r="B45" s="51"/>
    </row>
    <row r="46" spans="1:5" ht="14.4" x14ac:dyDescent="0.3">
      <c r="A46" s="53"/>
      <c r="B46" s="54" t="s">
        <v>148</v>
      </c>
    </row>
    <row r="47" spans="1:5" ht="13.8" x14ac:dyDescent="0.25">
      <c r="A47" s="55" t="s">
        <v>83</v>
      </c>
      <c r="B47" s="55" t="s">
        <v>84</v>
      </c>
      <c r="C47" s="55" t="s">
        <v>85</v>
      </c>
      <c r="D47" s="56" t="s">
        <v>86</v>
      </c>
      <c r="E47" s="55" t="s">
        <v>87</v>
      </c>
    </row>
    <row r="48" spans="1:5" x14ac:dyDescent="0.25">
      <c r="A48" s="52" t="s">
        <v>126</v>
      </c>
      <c r="B48" s="4" t="s">
        <v>147</v>
      </c>
      <c r="C48" s="4" t="s">
        <v>88</v>
      </c>
      <c r="D48" s="57">
        <v>345</v>
      </c>
      <c r="E48" s="58">
        <v>260.18174082040798</v>
      </c>
    </row>
    <row r="49" spans="1:5" x14ac:dyDescent="0.25">
      <c r="A49" s="52" t="s">
        <v>136</v>
      </c>
      <c r="B49" s="4" t="s">
        <v>147</v>
      </c>
      <c r="C49" s="4" t="s">
        <v>93</v>
      </c>
      <c r="D49" s="57">
        <v>372.5</v>
      </c>
      <c r="E49" s="58">
        <v>250.71111992001499</v>
      </c>
    </row>
    <row r="50" spans="1:5" x14ac:dyDescent="0.25">
      <c r="A50" s="52" t="s">
        <v>131</v>
      </c>
      <c r="B50" s="4" t="s">
        <v>149</v>
      </c>
      <c r="C50" s="4" t="s">
        <v>93</v>
      </c>
      <c r="D50" s="57">
        <v>300</v>
      </c>
      <c r="E50" s="58">
        <v>197.010004520416</v>
      </c>
    </row>
  </sheetData>
  <mergeCells count="18">
    <mergeCell ref="A8:R8"/>
    <mergeCell ref="A12:R12"/>
    <mergeCell ref="A16:R16"/>
    <mergeCell ref="A19:R19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7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9.88671875" style="4" bestFit="1" customWidth="1"/>
    <col min="3" max="3" width="14.88671875" style="4" bestFit="1" customWidth="1"/>
    <col min="4" max="4" width="8.21875" style="5" bestFit="1" customWidth="1"/>
    <col min="5" max="5" width="21.77734375" style="4" bestFit="1" customWidth="1"/>
    <col min="6" max="6" width="28.77734375" style="4" bestFit="1" customWidth="1"/>
    <col min="7" max="9" width="5.5546875" style="3" customWidth="1"/>
    <col min="10" max="10" width="4.5546875" style="3" customWidth="1"/>
    <col min="11" max="13" width="5.5546875" style="3" customWidth="1"/>
    <col min="14" max="14" width="4.5546875" style="3" customWidth="1"/>
    <col min="15" max="17" width="5.5546875" style="3" customWidth="1"/>
    <col min="18" max="18" width="4.5546875" style="3" customWidth="1"/>
    <col min="19" max="19" width="7.6640625" style="8" bestFit="1" customWidth="1"/>
    <col min="20" max="20" width="8.5546875" style="9" bestFit="1" customWidth="1"/>
    <col min="21" max="21" width="16.44140625" style="4" bestFit="1" customWidth="1"/>
    <col min="22" max="16384" width="9.109375" style="3"/>
  </cols>
  <sheetData>
    <row r="1" spans="1:21" s="2" customFormat="1" ht="28.95" customHeight="1" x14ac:dyDescent="0.25">
      <c r="A1" s="26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</v>
      </c>
      <c r="H3" s="19"/>
      <c r="I3" s="19"/>
      <c r="J3" s="19"/>
      <c r="K3" s="19" t="s">
        <v>15</v>
      </c>
      <c r="L3" s="19"/>
      <c r="M3" s="19"/>
      <c r="N3" s="19"/>
      <c r="O3" s="19" t="s">
        <v>16</v>
      </c>
      <c r="P3" s="19"/>
      <c r="Q3" s="19"/>
      <c r="R3" s="19"/>
      <c r="S3" s="11" t="s">
        <v>1</v>
      </c>
      <c r="T3" s="11" t="s">
        <v>3</v>
      </c>
      <c r="U3" s="24" t="s">
        <v>2</v>
      </c>
    </row>
    <row r="4" spans="1:21" s="1" customFormat="1" ht="21" customHeight="1" thickBot="1" x14ac:dyDescent="0.3">
      <c r="A4" s="21"/>
      <c r="B4" s="23"/>
      <c r="C4" s="23"/>
      <c r="D4" s="12"/>
      <c r="E4" s="23"/>
      <c r="F4" s="23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12"/>
      <c r="T4" s="12"/>
      <c r="U4" s="25"/>
    </row>
    <row r="5" spans="1:21" ht="15.6" x14ac:dyDescent="0.3">
      <c r="A5" s="27" t="s">
        <v>17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 x14ac:dyDescent="0.25">
      <c r="A6" s="29" t="s">
        <v>19</v>
      </c>
      <c r="B6" s="29" t="s">
        <v>20</v>
      </c>
      <c r="C6" s="29" t="s">
        <v>21</v>
      </c>
      <c r="D6" s="30" t="str">
        <f>"1,0205"</f>
        <v>1,0205</v>
      </c>
      <c r="E6" s="29" t="s">
        <v>22</v>
      </c>
      <c r="F6" s="29" t="s">
        <v>23</v>
      </c>
      <c r="G6" s="31" t="s">
        <v>24</v>
      </c>
      <c r="H6" s="31" t="s">
        <v>25</v>
      </c>
      <c r="I6" s="32" t="s">
        <v>26</v>
      </c>
      <c r="J6" s="32"/>
      <c r="K6" s="32" t="s">
        <v>27</v>
      </c>
      <c r="L6" s="31" t="s">
        <v>28</v>
      </c>
      <c r="M6" s="32" t="s">
        <v>29</v>
      </c>
      <c r="N6" s="32"/>
      <c r="O6" s="31" t="s">
        <v>30</v>
      </c>
      <c r="P6" s="32" t="s">
        <v>31</v>
      </c>
      <c r="Q6" s="31" t="s">
        <v>31</v>
      </c>
      <c r="R6" s="32"/>
      <c r="S6" s="33" t="str">
        <f>"262,5"</f>
        <v>262,5</v>
      </c>
      <c r="T6" s="34" t="str">
        <f>"267,8812"</f>
        <v>267,8812</v>
      </c>
      <c r="U6" s="29" t="s">
        <v>32</v>
      </c>
    </row>
    <row r="7" spans="1:21" x14ac:dyDescent="0.25">
      <c r="A7" s="35" t="s">
        <v>34</v>
      </c>
      <c r="B7" s="35" t="s">
        <v>35</v>
      </c>
      <c r="C7" s="35" t="s">
        <v>36</v>
      </c>
      <c r="D7" s="36" t="str">
        <f>"1,0120"</f>
        <v>1,0120</v>
      </c>
      <c r="E7" s="35" t="s">
        <v>22</v>
      </c>
      <c r="F7" s="35" t="s">
        <v>23</v>
      </c>
      <c r="G7" s="37" t="s">
        <v>37</v>
      </c>
      <c r="H7" s="37" t="s">
        <v>38</v>
      </c>
      <c r="I7" s="38" t="s">
        <v>24</v>
      </c>
      <c r="J7" s="38"/>
      <c r="K7" s="37" t="s">
        <v>39</v>
      </c>
      <c r="L7" s="37" t="s">
        <v>28</v>
      </c>
      <c r="M7" s="38" t="s">
        <v>29</v>
      </c>
      <c r="N7" s="38"/>
      <c r="O7" s="37" t="s">
        <v>40</v>
      </c>
      <c r="P7" s="37" t="s">
        <v>41</v>
      </c>
      <c r="Q7" s="38" t="s">
        <v>30</v>
      </c>
      <c r="R7" s="38"/>
      <c r="S7" s="39" t="str">
        <f>"242,5"</f>
        <v>242,5</v>
      </c>
      <c r="T7" s="40" t="str">
        <f>"245,4100"</f>
        <v>245,4100</v>
      </c>
      <c r="U7" s="35" t="s">
        <v>42</v>
      </c>
    </row>
    <row r="9" spans="1:21" ht="15.6" x14ac:dyDescent="0.3">
      <c r="A9" s="41" t="s">
        <v>43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21" x14ac:dyDescent="0.25">
      <c r="A10" s="29" t="s">
        <v>45</v>
      </c>
      <c r="B10" s="29" t="s">
        <v>46</v>
      </c>
      <c r="C10" s="29" t="s">
        <v>47</v>
      </c>
      <c r="D10" s="30" t="str">
        <f>"0,9266"</f>
        <v>0,9266</v>
      </c>
      <c r="E10" s="29" t="s">
        <v>22</v>
      </c>
      <c r="F10" s="29" t="s">
        <v>48</v>
      </c>
      <c r="G10" s="31" t="s">
        <v>49</v>
      </c>
      <c r="H10" s="31" t="s">
        <v>50</v>
      </c>
      <c r="I10" s="32" t="s">
        <v>51</v>
      </c>
      <c r="J10" s="32"/>
      <c r="K10" s="31" t="s">
        <v>40</v>
      </c>
      <c r="L10" s="31" t="s">
        <v>52</v>
      </c>
      <c r="M10" s="32"/>
      <c r="N10" s="32"/>
      <c r="O10" s="31" t="s">
        <v>53</v>
      </c>
      <c r="P10" s="31" t="s">
        <v>54</v>
      </c>
      <c r="Q10" s="32" t="s">
        <v>55</v>
      </c>
      <c r="R10" s="32"/>
      <c r="S10" s="33" t="str">
        <f>"432,5"</f>
        <v>432,5</v>
      </c>
      <c r="T10" s="34" t="str">
        <f>"400,7761"</f>
        <v>400,7761</v>
      </c>
      <c r="U10" s="29" t="s">
        <v>42</v>
      </c>
    </row>
    <row r="11" spans="1:21" x14ac:dyDescent="0.25">
      <c r="A11" s="35" t="s">
        <v>57</v>
      </c>
      <c r="B11" s="35" t="s">
        <v>58</v>
      </c>
      <c r="C11" s="35" t="s">
        <v>59</v>
      </c>
      <c r="D11" s="36" t="str">
        <f>"0,9211"</f>
        <v>0,9211</v>
      </c>
      <c r="E11" s="35" t="s">
        <v>22</v>
      </c>
      <c r="F11" s="35" t="s">
        <v>23</v>
      </c>
      <c r="G11" s="37" t="s">
        <v>40</v>
      </c>
      <c r="H11" s="37" t="s">
        <v>41</v>
      </c>
      <c r="I11" s="38" t="s">
        <v>30</v>
      </c>
      <c r="J11" s="38"/>
      <c r="K11" s="37" t="s">
        <v>60</v>
      </c>
      <c r="L11" s="38" t="s">
        <v>37</v>
      </c>
      <c r="M11" s="38" t="s">
        <v>37</v>
      </c>
      <c r="N11" s="38"/>
      <c r="O11" s="37" t="s">
        <v>61</v>
      </c>
      <c r="P11" s="37" t="s">
        <v>62</v>
      </c>
      <c r="Q11" s="37" t="s">
        <v>49</v>
      </c>
      <c r="R11" s="38"/>
      <c r="S11" s="39" t="str">
        <f>"320,0"</f>
        <v>320,0</v>
      </c>
      <c r="T11" s="40" t="str">
        <f>"294,7520"</f>
        <v>294,7520</v>
      </c>
      <c r="U11" s="35" t="s">
        <v>32</v>
      </c>
    </row>
    <row r="13" spans="1:21" ht="15.6" x14ac:dyDescent="0.3">
      <c r="A13" s="41" t="s">
        <v>63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21" x14ac:dyDescent="0.25">
      <c r="A14" s="43" t="s">
        <v>65</v>
      </c>
      <c r="B14" s="43" t="s">
        <v>66</v>
      </c>
      <c r="C14" s="43" t="s">
        <v>67</v>
      </c>
      <c r="D14" s="44" t="str">
        <f>"0,6573"</f>
        <v>0,6573</v>
      </c>
      <c r="E14" s="43" t="s">
        <v>22</v>
      </c>
      <c r="F14" s="43" t="s">
        <v>68</v>
      </c>
      <c r="G14" s="45" t="s">
        <v>69</v>
      </c>
      <c r="H14" s="46" t="s">
        <v>70</v>
      </c>
      <c r="I14" s="46"/>
      <c r="J14" s="46"/>
      <c r="K14" s="45" t="s">
        <v>71</v>
      </c>
      <c r="L14" s="45" t="s">
        <v>72</v>
      </c>
      <c r="M14" s="45" t="s">
        <v>61</v>
      </c>
      <c r="N14" s="46"/>
      <c r="O14" s="45" t="s">
        <v>73</v>
      </c>
      <c r="P14" s="45" t="s">
        <v>74</v>
      </c>
      <c r="Q14" s="46"/>
      <c r="R14" s="46"/>
      <c r="S14" s="47" t="str">
        <f>"530,0"</f>
        <v>530,0</v>
      </c>
      <c r="T14" s="48" t="str">
        <f>"449,7444"</f>
        <v>449,7444</v>
      </c>
      <c r="U14" s="43" t="s">
        <v>42</v>
      </c>
    </row>
    <row r="16" spans="1:21" ht="15" x14ac:dyDescent="0.25">
      <c r="E16" s="49" t="s">
        <v>75</v>
      </c>
    </row>
    <row r="17" spans="1:5" ht="15" x14ac:dyDescent="0.25">
      <c r="E17" s="49" t="s">
        <v>76</v>
      </c>
    </row>
    <row r="18" spans="1:5" ht="15" x14ac:dyDescent="0.25">
      <c r="E18" s="49" t="s">
        <v>77</v>
      </c>
    </row>
    <row r="19" spans="1:5" ht="15" x14ac:dyDescent="0.25">
      <c r="E19" s="49" t="s">
        <v>78</v>
      </c>
    </row>
    <row r="20" spans="1:5" ht="15" x14ac:dyDescent="0.25">
      <c r="E20" s="49" t="s">
        <v>78</v>
      </c>
    </row>
    <row r="21" spans="1:5" ht="15" x14ac:dyDescent="0.25">
      <c r="E21" s="49" t="s">
        <v>79</v>
      </c>
    </row>
    <row r="22" spans="1:5" ht="15" x14ac:dyDescent="0.25">
      <c r="E22" s="49"/>
    </row>
    <row r="24" spans="1:5" ht="17.399999999999999" x14ac:dyDescent="0.3">
      <c r="A24" s="50" t="s">
        <v>80</v>
      </c>
      <c r="B24" s="50"/>
    </row>
    <row r="25" spans="1:5" ht="15.6" x14ac:dyDescent="0.3">
      <c r="A25" s="51" t="s">
        <v>81</v>
      </c>
      <c r="B25" s="51"/>
    </row>
    <row r="26" spans="1:5" ht="14.4" x14ac:dyDescent="0.3">
      <c r="A26" s="53"/>
      <c r="B26" s="54" t="s">
        <v>82</v>
      </c>
    </row>
    <row r="27" spans="1:5" ht="13.8" x14ac:dyDescent="0.25">
      <c r="A27" s="55" t="s">
        <v>83</v>
      </c>
      <c r="B27" s="55" t="s">
        <v>84</v>
      </c>
      <c r="C27" s="55" t="s">
        <v>85</v>
      </c>
      <c r="D27" s="56" t="s">
        <v>86</v>
      </c>
      <c r="E27" s="55" t="s">
        <v>87</v>
      </c>
    </row>
    <row r="28" spans="1:5" x14ac:dyDescent="0.25">
      <c r="A28" s="52" t="s">
        <v>44</v>
      </c>
      <c r="B28" s="4" t="s">
        <v>82</v>
      </c>
      <c r="C28" s="4" t="s">
        <v>88</v>
      </c>
      <c r="D28" s="57">
        <v>432.5</v>
      </c>
      <c r="E28" s="58">
        <v>400.77611967921302</v>
      </c>
    </row>
    <row r="29" spans="1:5" x14ac:dyDescent="0.25">
      <c r="A29" s="52" t="s">
        <v>56</v>
      </c>
      <c r="B29" s="4" t="s">
        <v>82</v>
      </c>
      <c r="C29" s="4" t="s">
        <v>88</v>
      </c>
      <c r="D29" s="57">
        <v>320</v>
      </c>
      <c r="E29" s="58">
        <v>294.752006530762</v>
      </c>
    </row>
    <row r="30" spans="1:5" x14ac:dyDescent="0.25">
      <c r="A30" s="52" t="s">
        <v>18</v>
      </c>
      <c r="B30" s="4" t="s">
        <v>82</v>
      </c>
      <c r="C30" s="4" t="s">
        <v>89</v>
      </c>
      <c r="D30" s="57">
        <v>262.5</v>
      </c>
      <c r="E30" s="58">
        <v>267.88123548030899</v>
      </c>
    </row>
    <row r="31" spans="1:5" x14ac:dyDescent="0.25">
      <c r="A31" s="52" t="s">
        <v>33</v>
      </c>
      <c r="B31" s="4" t="s">
        <v>82</v>
      </c>
      <c r="C31" s="4" t="s">
        <v>89</v>
      </c>
      <c r="D31" s="57">
        <v>242.5</v>
      </c>
      <c r="E31" s="58">
        <v>245.409991443157</v>
      </c>
    </row>
    <row r="34" spans="1:5" ht="15.6" x14ac:dyDescent="0.3">
      <c r="A34" s="51" t="s">
        <v>90</v>
      </c>
      <c r="B34" s="51"/>
    </row>
    <row r="35" spans="1:5" ht="14.4" x14ac:dyDescent="0.3">
      <c r="A35" s="53"/>
      <c r="B35" s="54" t="s">
        <v>91</v>
      </c>
    </row>
    <row r="36" spans="1:5" ht="13.8" x14ac:dyDescent="0.25">
      <c r="A36" s="55" t="s">
        <v>83</v>
      </c>
      <c r="B36" s="55" t="s">
        <v>84</v>
      </c>
      <c r="C36" s="55" t="s">
        <v>85</v>
      </c>
      <c r="D36" s="56" t="s">
        <v>86</v>
      </c>
      <c r="E36" s="55" t="s">
        <v>87</v>
      </c>
    </row>
    <row r="37" spans="1:5" x14ac:dyDescent="0.25">
      <c r="A37" s="52" t="s">
        <v>64</v>
      </c>
      <c r="B37" s="4" t="s">
        <v>92</v>
      </c>
      <c r="C37" s="4" t="s">
        <v>93</v>
      </c>
      <c r="D37" s="57">
        <v>530</v>
      </c>
      <c r="E37" s="58">
        <v>449.74437586784398</v>
      </c>
    </row>
  </sheetData>
  <mergeCells count="16">
    <mergeCell ref="A5:R5"/>
    <mergeCell ref="A9:R9"/>
    <mergeCell ref="A13:R13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7.6640625" style="4" bestFit="1" customWidth="1"/>
    <col min="3" max="3" width="14.88671875" style="4" bestFit="1" customWidth="1"/>
    <col min="4" max="4" width="8.21875" style="5" bestFit="1" customWidth="1"/>
    <col min="5" max="6" width="21.77734375" style="4" bestFit="1" customWidth="1"/>
    <col min="7" max="10" width="4.5546875" style="3" customWidth="1"/>
    <col min="11" max="14" width="5.5546875" style="3" customWidth="1"/>
    <col min="15" max="15" width="7.6640625" style="8" bestFit="1" customWidth="1"/>
    <col min="16" max="16" width="8.5546875" style="9" bestFit="1" customWidth="1"/>
    <col min="17" max="17" width="12.6640625" style="4" bestFit="1" customWidth="1"/>
    <col min="18" max="16384" width="9.109375" style="3"/>
  </cols>
  <sheetData>
    <row r="1" spans="1:17" s="2" customFormat="1" ht="28.95" customHeight="1" x14ac:dyDescent="0.25">
      <c r="A1" s="26" t="s">
        <v>314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9" t="s">
        <v>16</v>
      </c>
      <c r="L3" s="19"/>
      <c r="M3" s="19"/>
      <c r="N3" s="19"/>
      <c r="O3" s="11" t="s">
        <v>1</v>
      </c>
      <c r="P3" s="11" t="s">
        <v>3</v>
      </c>
      <c r="Q3" s="24" t="s">
        <v>2</v>
      </c>
    </row>
    <row r="4" spans="1:17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2"/>
      <c r="P4" s="12"/>
      <c r="Q4" s="25"/>
    </row>
    <row r="5" spans="1:17" ht="15.6" x14ac:dyDescent="0.3">
      <c r="A5" s="27" t="s">
        <v>217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5">
      <c r="A6" s="43" t="s">
        <v>316</v>
      </c>
      <c r="B6" s="43" t="s">
        <v>317</v>
      </c>
      <c r="C6" s="43" t="s">
        <v>318</v>
      </c>
      <c r="D6" s="44" t="str">
        <f>"0,6340"</f>
        <v>0,6340</v>
      </c>
      <c r="E6" s="43" t="s">
        <v>105</v>
      </c>
      <c r="F6" s="43" t="s">
        <v>23</v>
      </c>
      <c r="G6" s="45" t="s">
        <v>158</v>
      </c>
      <c r="H6" s="45" t="s">
        <v>140</v>
      </c>
      <c r="I6" s="46" t="s">
        <v>37</v>
      </c>
      <c r="J6" s="46"/>
      <c r="K6" s="45" t="s">
        <v>62</v>
      </c>
      <c r="L6" s="45" t="s">
        <v>50</v>
      </c>
      <c r="M6" s="45" t="s">
        <v>143</v>
      </c>
      <c r="N6" s="45" t="s">
        <v>319</v>
      </c>
      <c r="O6" s="47" t="str">
        <f>"227,5"</f>
        <v>227,5</v>
      </c>
      <c r="P6" s="48" t="str">
        <f>"144,2350"</f>
        <v>144,2350</v>
      </c>
      <c r="Q6" s="43" t="s">
        <v>95</v>
      </c>
    </row>
    <row r="8" spans="1:17" ht="15" x14ac:dyDescent="0.25">
      <c r="E8" s="49" t="s">
        <v>75</v>
      </c>
    </row>
    <row r="9" spans="1:17" ht="15" x14ac:dyDescent="0.25">
      <c r="E9" s="49" t="s">
        <v>76</v>
      </c>
    </row>
    <row r="10" spans="1:17" ht="15" x14ac:dyDescent="0.25">
      <c r="E10" s="49" t="s">
        <v>77</v>
      </c>
    </row>
    <row r="11" spans="1:17" ht="15" x14ac:dyDescent="0.25">
      <c r="E11" s="49" t="s">
        <v>78</v>
      </c>
    </row>
    <row r="12" spans="1:17" ht="15" x14ac:dyDescent="0.25">
      <c r="E12" s="49" t="s">
        <v>78</v>
      </c>
    </row>
    <row r="13" spans="1:17" ht="15" x14ac:dyDescent="0.25">
      <c r="E13" s="49" t="s">
        <v>79</v>
      </c>
    </row>
    <row r="14" spans="1:17" ht="15" x14ac:dyDescent="0.25">
      <c r="E14" s="49"/>
    </row>
    <row r="16" spans="1:17" ht="17.399999999999999" x14ac:dyDescent="0.3">
      <c r="A16" s="50" t="s">
        <v>80</v>
      </c>
      <c r="B16" s="50"/>
    </row>
    <row r="17" spans="1:5" ht="15.6" x14ac:dyDescent="0.3">
      <c r="A17" s="51" t="s">
        <v>90</v>
      </c>
      <c r="B17" s="51"/>
    </row>
    <row r="18" spans="1:5" ht="14.4" x14ac:dyDescent="0.3">
      <c r="A18" s="53"/>
      <c r="B18" s="54" t="s">
        <v>148</v>
      </c>
    </row>
    <row r="19" spans="1:5" ht="13.8" x14ac:dyDescent="0.25">
      <c r="A19" s="55" t="s">
        <v>83</v>
      </c>
      <c r="B19" s="55" t="s">
        <v>84</v>
      </c>
      <c r="C19" s="55" t="s">
        <v>85</v>
      </c>
      <c r="D19" s="56" t="s">
        <v>86</v>
      </c>
      <c r="E19" s="55" t="s">
        <v>87</v>
      </c>
    </row>
    <row r="20" spans="1:5" x14ac:dyDescent="0.25">
      <c r="A20" s="52" t="s">
        <v>315</v>
      </c>
      <c r="B20" s="4" t="s">
        <v>149</v>
      </c>
      <c r="C20" s="4" t="s">
        <v>223</v>
      </c>
      <c r="D20" s="57">
        <v>227.5</v>
      </c>
      <c r="E20" s="58">
        <v>144.235000759363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9.88671875" style="4" bestFit="1" customWidth="1"/>
    <col min="3" max="3" width="14.88671875" style="4" bestFit="1" customWidth="1"/>
    <col min="4" max="4" width="8.21875" style="5" bestFit="1" customWidth="1"/>
    <col min="5" max="6" width="21.77734375" style="4" bestFit="1" customWidth="1"/>
    <col min="7" max="11" width="4.5546875" style="3" customWidth="1"/>
    <col min="12" max="13" width="5.5546875" style="3" customWidth="1"/>
    <col min="14" max="14" width="4.5546875" style="3" customWidth="1"/>
    <col min="15" max="15" width="7.6640625" style="8" bestFit="1" customWidth="1"/>
    <col min="16" max="16" width="8.5546875" style="9" bestFit="1" customWidth="1"/>
    <col min="17" max="17" width="8.33203125" style="4" bestFit="1" customWidth="1"/>
    <col min="18" max="16384" width="9.109375" style="3"/>
  </cols>
  <sheetData>
    <row r="1" spans="1:17" s="2" customFormat="1" ht="28.95" customHeight="1" x14ac:dyDescent="0.25">
      <c r="A1" s="26" t="s">
        <v>309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9" t="s">
        <v>16</v>
      </c>
      <c r="L3" s="19"/>
      <c r="M3" s="19"/>
      <c r="N3" s="19"/>
      <c r="O3" s="11" t="s">
        <v>1</v>
      </c>
      <c r="P3" s="11" t="s">
        <v>3</v>
      </c>
      <c r="Q3" s="24" t="s">
        <v>2</v>
      </c>
    </row>
    <row r="4" spans="1:17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2"/>
      <c r="P4" s="12"/>
      <c r="Q4" s="25"/>
    </row>
    <row r="5" spans="1:17" ht="15.6" x14ac:dyDescent="0.3">
      <c r="A5" s="27" t="s">
        <v>300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5">
      <c r="A6" s="43" t="s">
        <v>311</v>
      </c>
      <c r="B6" s="43" t="s">
        <v>312</v>
      </c>
      <c r="C6" s="43" t="s">
        <v>313</v>
      </c>
      <c r="D6" s="44" t="str">
        <f>"1,1352"</f>
        <v>1,1352</v>
      </c>
      <c r="E6" s="43" t="s">
        <v>280</v>
      </c>
      <c r="F6" s="43" t="s">
        <v>23</v>
      </c>
      <c r="G6" s="45" t="s">
        <v>180</v>
      </c>
      <c r="H6" s="46" t="s">
        <v>119</v>
      </c>
      <c r="I6" s="46" t="s">
        <v>119</v>
      </c>
      <c r="J6" s="46"/>
      <c r="K6" s="45" t="s">
        <v>25</v>
      </c>
      <c r="L6" s="45" t="s">
        <v>52</v>
      </c>
      <c r="M6" s="45" t="s">
        <v>111</v>
      </c>
      <c r="N6" s="46"/>
      <c r="O6" s="47" t="str">
        <f>"160,0"</f>
        <v>160,0</v>
      </c>
      <c r="P6" s="48" t="str">
        <f>"286,2520"</f>
        <v>286,2520</v>
      </c>
      <c r="Q6" s="43" t="s">
        <v>42</v>
      </c>
    </row>
    <row r="8" spans="1:17" ht="15" x14ac:dyDescent="0.25">
      <c r="E8" s="49" t="s">
        <v>75</v>
      </c>
    </row>
    <row r="9" spans="1:17" ht="15" x14ac:dyDescent="0.25">
      <c r="E9" s="49" t="s">
        <v>76</v>
      </c>
    </row>
    <row r="10" spans="1:17" ht="15" x14ac:dyDescent="0.25">
      <c r="E10" s="49" t="s">
        <v>77</v>
      </c>
    </row>
    <row r="11" spans="1:17" ht="15" x14ac:dyDescent="0.25">
      <c r="E11" s="49" t="s">
        <v>78</v>
      </c>
    </row>
    <row r="12" spans="1:17" ht="15" x14ac:dyDescent="0.25">
      <c r="E12" s="49" t="s">
        <v>78</v>
      </c>
    </row>
    <row r="13" spans="1:17" ht="15" x14ac:dyDescent="0.25">
      <c r="E13" s="49" t="s">
        <v>79</v>
      </c>
    </row>
    <row r="14" spans="1:17" ht="15" x14ac:dyDescent="0.25">
      <c r="E14" s="49"/>
    </row>
    <row r="16" spans="1:17" ht="17.399999999999999" x14ac:dyDescent="0.3">
      <c r="A16" s="50" t="s">
        <v>80</v>
      </c>
      <c r="B16" s="50"/>
    </row>
    <row r="17" spans="1:5" ht="15.6" x14ac:dyDescent="0.3">
      <c r="A17" s="51" t="s">
        <v>81</v>
      </c>
      <c r="B17" s="51"/>
    </row>
    <row r="18" spans="1:5" ht="14.4" x14ac:dyDescent="0.3">
      <c r="A18" s="53"/>
      <c r="B18" s="54" t="s">
        <v>91</v>
      </c>
    </row>
    <row r="19" spans="1:5" ht="13.8" x14ac:dyDescent="0.25">
      <c r="A19" s="55" t="s">
        <v>83</v>
      </c>
      <c r="B19" s="55" t="s">
        <v>84</v>
      </c>
      <c r="C19" s="55" t="s">
        <v>85</v>
      </c>
      <c r="D19" s="56" t="s">
        <v>86</v>
      </c>
      <c r="E19" s="55" t="s">
        <v>87</v>
      </c>
    </row>
    <row r="20" spans="1:5" x14ac:dyDescent="0.25">
      <c r="A20" s="52" t="s">
        <v>310</v>
      </c>
      <c r="B20" s="4" t="s">
        <v>215</v>
      </c>
      <c r="C20" s="4" t="s">
        <v>308</v>
      </c>
      <c r="D20" s="57">
        <v>160</v>
      </c>
      <c r="E20" s="58">
        <v>286.252037963867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7.6640625" style="4" bestFit="1" customWidth="1"/>
    <col min="3" max="3" width="14.88671875" style="4" bestFit="1" customWidth="1"/>
    <col min="4" max="4" width="11.88671875" style="5" bestFit="1" customWidth="1"/>
    <col min="5" max="5" width="21.77734375" style="4" bestFit="1" customWidth="1"/>
    <col min="6" max="6" width="32" style="4" bestFit="1" customWidth="1"/>
    <col min="7" max="10" width="4.5546875" style="3" customWidth="1"/>
    <col min="11" max="11" width="7.6640625" style="8" bestFit="1" customWidth="1"/>
    <col min="12" max="12" width="7.5546875" style="9" bestFit="1" customWidth="1"/>
    <col min="13" max="13" width="12.6640625" style="4" bestFit="1" customWidth="1"/>
    <col min="14" max="16384" width="9.109375" style="3"/>
  </cols>
  <sheetData>
    <row r="1" spans="1:13" s="2" customFormat="1" ht="28.95" customHeight="1" x14ac:dyDescent="0.25">
      <c r="A1" s="26" t="s">
        <v>299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292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300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43" t="s">
        <v>302</v>
      </c>
      <c r="B6" s="43" t="s">
        <v>303</v>
      </c>
      <c r="C6" s="43" t="s">
        <v>304</v>
      </c>
      <c r="D6" s="44" t="str">
        <f>"1,0239"</f>
        <v>1,0239</v>
      </c>
      <c r="E6" s="43" t="s">
        <v>22</v>
      </c>
      <c r="F6" s="43" t="s">
        <v>23</v>
      </c>
      <c r="G6" s="45" t="s">
        <v>305</v>
      </c>
      <c r="H6" s="46" t="s">
        <v>170</v>
      </c>
      <c r="I6" s="46" t="s">
        <v>170</v>
      </c>
      <c r="J6" s="46"/>
      <c r="K6" s="47" t="str">
        <f>"35,0"</f>
        <v>35,0</v>
      </c>
      <c r="L6" s="48" t="str">
        <f>"35,8365"</f>
        <v>35,8365</v>
      </c>
      <c r="M6" s="43" t="s">
        <v>42</v>
      </c>
    </row>
    <row r="8" spans="1:13" ht="15.6" x14ac:dyDescent="0.3">
      <c r="A8" s="41" t="s">
        <v>43</v>
      </c>
      <c r="B8" s="42"/>
      <c r="C8" s="42"/>
      <c r="D8" s="42"/>
      <c r="E8" s="42"/>
      <c r="F8" s="42"/>
      <c r="G8" s="42"/>
      <c r="H8" s="42"/>
      <c r="I8" s="42"/>
      <c r="J8" s="42"/>
    </row>
    <row r="9" spans="1:13" x14ac:dyDescent="0.25">
      <c r="A9" s="43" t="s">
        <v>226</v>
      </c>
      <c r="B9" s="43" t="s">
        <v>227</v>
      </c>
      <c r="C9" s="43" t="s">
        <v>228</v>
      </c>
      <c r="D9" s="44" t="str">
        <f>"0,7797"</f>
        <v>0,7797</v>
      </c>
      <c r="E9" s="43" t="s">
        <v>99</v>
      </c>
      <c r="F9" s="43" t="s">
        <v>23</v>
      </c>
      <c r="G9" s="45" t="s">
        <v>169</v>
      </c>
      <c r="H9" s="45" t="s">
        <v>306</v>
      </c>
      <c r="I9" s="46" t="s">
        <v>27</v>
      </c>
      <c r="J9" s="46"/>
      <c r="K9" s="47" t="str">
        <f>"37,5"</f>
        <v>37,5</v>
      </c>
      <c r="L9" s="48" t="str">
        <f>"29,2387"</f>
        <v>29,2387</v>
      </c>
      <c r="M9" s="43" t="s">
        <v>95</v>
      </c>
    </row>
    <row r="11" spans="1:13" ht="15.6" x14ac:dyDescent="0.3">
      <c r="A11" s="41" t="s">
        <v>186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 x14ac:dyDescent="0.25">
      <c r="A12" s="43" t="s">
        <v>307</v>
      </c>
      <c r="B12" s="43" t="s">
        <v>231</v>
      </c>
      <c r="C12" s="43" t="s">
        <v>232</v>
      </c>
      <c r="D12" s="44" t="str">
        <f>"0,7172"</f>
        <v>0,7172</v>
      </c>
      <c r="E12" s="43" t="s">
        <v>22</v>
      </c>
      <c r="F12" s="43" t="s">
        <v>157</v>
      </c>
      <c r="G12" s="45" t="s">
        <v>29</v>
      </c>
      <c r="H12" s="46" t="s">
        <v>119</v>
      </c>
      <c r="I12" s="46" t="s">
        <v>119</v>
      </c>
      <c r="J12" s="46"/>
      <c r="K12" s="47" t="str">
        <f>"50,0"</f>
        <v>50,0</v>
      </c>
      <c r="L12" s="48" t="str">
        <f>"35,8625"</f>
        <v>35,8625</v>
      </c>
      <c r="M12" s="43" t="s">
        <v>42</v>
      </c>
    </row>
    <row r="14" spans="1:13" ht="15" x14ac:dyDescent="0.25">
      <c r="E14" s="49" t="s">
        <v>75</v>
      </c>
    </row>
    <row r="15" spans="1:13" ht="15" x14ac:dyDescent="0.25">
      <c r="E15" s="49" t="s">
        <v>76</v>
      </c>
    </row>
    <row r="16" spans="1:13" ht="15" x14ac:dyDescent="0.25">
      <c r="E16" s="49" t="s">
        <v>77</v>
      </c>
    </row>
    <row r="17" spans="1:5" ht="15" x14ac:dyDescent="0.25">
      <c r="E17" s="49" t="s">
        <v>78</v>
      </c>
    </row>
    <row r="18" spans="1:5" ht="15" x14ac:dyDescent="0.25">
      <c r="E18" s="49" t="s">
        <v>78</v>
      </c>
    </row>
    <row r="19" spans="1:5" ht="15" x14ac:dyDescent="0.25">
      <c r="E19" s="49" t="s">
        <v>79</v>
      </c>
    </row>
    <row r="20" spans="1:5" ht="15" x14ac:dyDescent="0.25">
      <c r="E20" s="49"/>
    </row>
    <row r="22" spans="1:5" ht="17.399999999999999" x14ac:dyDescent="0.3">
      <c r="A22" s="50" t="s">
        <v>80</v>
      </c>
      <c r="B22" s="50"/>
    </row>
    <row r="23" spans="1:5" ht="15.6" x14ac:dyDescent="0.3">
      <c r="A23" s="51" t="s">
        <v>90</v>
      </c>
      <c r="B23" s="51"/>
    </row>
    <row r="24" spans="1:5" ht="14.4" x14ac:dyDescent="0.3">
      <c r="A24" s="53"/>
      <c r="B24" s="54" t="s">
        <v>148</v>
      </c>
    </row>
    <row r="25" spans="1:5" ht="13.8" x14ac:dyDescent="0.25">
      <c r="A25" s="55" t="s">
        <v>83</v>
      </c>
      <c r="B25" s="55" t="s">
        <v>84</v>
      </c>
      <c r="C25" s="55" t="s">
        <v>85</v>
      </c>
      <c r="D25" s="56" t="s">
        <v>214</v>
      </c>
      <c r="E25" s="55" t="s">
        <v>87</v>
      </c>
    </row>
    <row r="26" spans="1:5" x14ac:dyDescent="0.25">
      <c r="A26" s="52" t="s">
        <v>229</v>
      </c>
      <c r="B26" s="4" t="s">
        <v>149</v>
      </c>
      <c r="C26" s="4" t="s">
        <v>204</v>
      </c>
      <c r="D26" s="57">
        <v>50</v>
      </c>
      <c r="E26" s="58">
        <v>35.862499475479098</v>
      </c>
    </row>
    <row r="28" spans="1:5" ht="14.4" x14ac:dyDescent="0.3">
      <c r="A28" s="53"/>
      <c r="B28" s="54" t="s">
        <v>82</v>
      </c>
    </row>
    <row r="29" spans="1:5" ht="13.8" x14ac:dyDescent="0.25">
      <c r="A29" s="55" t="s">
        <v>83</v>
      </c>
      <c r="B29" s="55" t="s">
        <v>84</v>
      </c>
      <c r="C29" s="55" t="s">
        <v>85</v>
      </c>
      <c r="D29" s="56" t="s">
        <v>214</v>
      </c>
      <c r="E29" s="55" t="s">
        <v>87</v>
      </c>
    </row>
    <row r="30" spans="1:5" x14ac:dyDescent="0.25">
      <c r="A30" s="52" t="s">
        <v>301</v>
      </c>
      <c r="B30" s="4" t="s">
        <v>82</v>
      </c>
      <c r="C30" s="4" t="s">
        <v>308</v>
      </c>
      <c r="D30" s="57">
        <v>35</v>
      </c>
      <c r="E30" s="58">
        <v>35.836501121521003</v>
      </c>
    </row>
    <row r="31" spans="1:5" x14ac:dyDescent="0.25">
      <c r="A31" s="52" t="s">
        <v>225</v>
      </c>
      <c r="B31" s="4" t="s">
        <v>82</v>
      </c>
      <c r="C31" s="4" t="s">
        <v>88</v>
      </c>
      <c r="D31" s="57">
        <v>37.5</v>
      </c>
      <c r="E31" s="58">
        <v>29.238749295473099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F19" sqref="F19"/>
    </sheetView>
  </sheetViews>
  <sheetFormatPr defaultColWidth="9.109375" defaultRowHeight="13.2" x14ac:dyDescent="0.25"/>
  <cols>
    <col min="1" max="1" width="24.6640625" style="4" bestFit="1" customWidth="1"/>
    <col min="2" max="2" width="29.88671875" style="4" bestFit="1" customWidth="1"/>
    <col min="3" max="3" width="14.88671875" style="4" bestFit="1" customWidth="1"/>
    <col min="4" max="4" width="11.88671875" style="5" bestFit="1" customWidth="1"/>
    <col min="5" max="5" width="21.77734375" style="4" bestFit="1" customWidth="1"/>
    <col min="6" max="6" width="31" style="4" bestFit="1" customWidth="1"/>
    <col min="7" max="8" width="5.5546875" style="3" customWidth="1"/>
    <col min="9" max="9" width="2.109375" style="3" customWidth="1"/>
    <col min="10" max="10" width="4.5546875" style="3" customWidth="1"/>
    <col min="11" max="11" width="7.6640625" style="8" bestFit="1" customWidth="1"/>
    <col min="12" max="12" width="8.5546875" style="9" bestFit="1" customWidth="1"/>
    <col min="13" max="13" width="8.33203125" style="4" bestFit="1" customWidth="1"/>
    <col min="14" max="16384" width="9.109375" style="3"/>
  </cols>
  <sheetData>
    <row r="1" spans="1:13" s="2" customFormat="1" ht="28.95" customHeight="1" x14ac:dyDescent="0.25">
      <c r="A1" s="26" t="s">
        <v>297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16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43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43" t="s">
        <v>182</v>
      </c>
      <c r="B6" s="43" t="s">
        <v>183</v>
      </c>
      <c r="C6" s="43" t="s">
        <v>184</v>
      </c>
      <c r="D6" s="44" t="str">
        <f>"0,7671"</f>
        <v>0,7671</v>
      </c>
      <c r="E6" s="43" t="s">
        <v>22</v>
      </c>
      <c r="F6" s="43" t="s">
        <v>23</v>
      </c>
      <c r="G6" s="45" t="s">
        <v>69</v>
      </c>
      <c r="H6" s="45" t="s">
        <v>55</v>
      </c>
      <c r="I6" s="46" t="s">
        <v>185</v>
      </c>
      <c r="J6" s="46"/>
      <c r="K6" s="47" t="str">
        <f>"190,0"</f>
        <v>190,0</v>
      </c>
      <c r="L6" s="48" t="str">
        <f>"145,7395"</f>
        <v>145,7395</v>
      </c>
      <c r="M6" s="43" t="s">
        <v>42</v>
      </c>
    </row>
    <row r="8" spans="1:13" ht="15.6" x14ac:dyDescent="0.3">
      <c r="A8" s="41" t="s">
        <v>63</v>
      </c>
      <c r="B8" s="42"/>
      <c r="C8" s="42"/>
      <c r="D8" s="42"/>
      <c r="E8" s="42"/>
      <c r="F8" s="42"/>
      <c r="G8" s="42"/>
      <c r="H8" s="42"/>
      <c r="I8" s="42"/>
      <c r="J8" s="42"/>
    </row>
    <row r="9" spans="1:13" x14ac:dyDescent="0.25">
      <c r="A9" s="43" t="s">
        <v>239</v>
      </c>
      <c r="B9" s="43" t="s">
        <v>240</v>
      </c>
      <c r="C9" s="43" t="s">
        <v>139</v>
      </c>
      <c r="D9" s="44" t="str">
        <f>"0,6730"</f>
        <v>0,6730</v>
      </c>
      <c r="E9" s="43" t="s">
        <v>105</v>
      </c>
      <c r="F9" s="43" t="s">
        <v>241</v>
      </c>
      <c r="G9" s="45" t="s">
        <v>55</v>
      </c>
      <c r="H9" s="45" t="s">
        <v>298</v>
      </c>
      <c r="I9" s="46"/>
      <c r="J9" s="46"/>
      <c r="K9" s="47" t="str">
        <f>"205,0"</f>
        <v>205,0</v>
      </c>
      <c r="L9" s="48" t="str">
        <f>"208,4806"</f>
        <v>208,4806</v>
      </c>
      <c r="M9" s="43" t="s">
        <v>42</v>
      </c>
    </row>
    <row r="11" spans="1:13" ht="15" x14ac:dyDescent="0.25">
      <c r="E11" s="49" t="s">
        <v>75</v>
      </c>
    </row>
    <row r="12" spans="1:13" ht="15" x14ac:dyDescent="0.25">
      <c r="E12" s="49" t="s">
        <v>76</v>
      </c>
    </row>
    <row r="13" spans="1:13" ht="15" x14ac:dyDescent="0.25">
      <c r="E13" s="49" t="s">
        <v>77</v>
      </c>
    </row>
    <row r="14" spans="1:13" ht="15" x14ac:dyDescent="0.25">
      <c r="E14" s="49" t="s">
        <v>78</v>
      </c>
    </row>
    <row r="15" spans="1:13" ht="15" x14ac:dyDescent="0.25">
      <c r="E15" s="49" t="s">
        <v>78</v>
      </c>
    </row>
    <row r="16" spans="1:13" ht="15" x14ac:dyDescent="0.25">
      <c r="E16" s="49" t="s">
        <v>79</v>
      </c>
    </row>
    <row r="17" spans="1:5" ht="15" x14ac:dyDescent="0.25">
      <c r="E17" s="49"/>
    </row>
    <row r="19" spans="1:5" ht="17.399999999999999" x14ac:dyDescent="0.3">
      <c r="A19" s="50" t="s">
        <v>80</v>
      </c>
      <c r="B19" s="50"/>
    </row>
    <row r="20" spans="1:5" ht="15.6" x14ac:dyDescent="0.3">
      <c r="A20" s="51" t="s">
        <v>90</v>
      </c>
      <c r="B20" s="51"/>
    </row>
    <row r="21" spans="1:5" ht="14.4" x14ac:dyDescent="0.3">
      <c r="A21" s="53"/>
      <c r="B21" s="54" t="s">
        <v>82</v>
      </c>
    </row>
    <row r="22" spans="1:5" ht="13.8" x14ac:dyDescent="0.25">
      <c r="A22" s="55" t="s">
        <v>83</v>
      </c>
      <c r="B22" s="55" t="s">
        <v>84</v>
      </c>
      <c r="C22" s="55" t="s">
        <v>85</v>
      </c>
      <c r="D22" s="56" t="s">
        <v>214</v>
      </c>
      <c r="E22" s="55" t="s">
        <v>87</v>
      </c>
    </row>
    <row r="23" spans="1:5" x14ac:dyDescent="0.25">
      <c r="A23" s="52" t="s">
        <v>181</v>
      </c>
      <c r="B23" s="4" t="s">
        <v>82</v>
      </c>
      <c r="C23" s="4" t="s">
        <v>88</v>
      </c>
      <c r="D23" s="57">
        <v>190</v>
      </c>
      <c r="E23" s="58">
        <v>145.73950529098499</v>
      </c>
    </row>
    <row r="25" spans="1:5" ht="14.4" x14ac:dyDescent="0.3">
      <c r="A25" s="53"/>
      <c r="B25" s="54" t="s">
        <v>91</v>
      </c>
    </row>
    <row r="26" spans="1:5" ht="13.8" x14ac:dyDescent="0.25">
      <c r="A26" s="55" t="s">
        <v>83</v>
      </c>
      <c r="B26" s="55" t="s">
        <v>84</v>
      </c>
      <c r="C26" s="55" t="s">
        <v>85</v>
      </c>
      <c r="D26" s="56" t="s">
        <v>214</v>
      </c>
      <c r="E26" s="55" t="s">
        <v>87</v>
      </c>
    </row>
    <row r="27" spans="1:5" x14ac:dyDescent="0.25">
      <c r="A27" s="52" t="s">
        <v>238</v>
      </c>
      <c r="B27" s="4" t="s">
        <v>215</v>
      </c>
      <c r="C27" s="4" t="s">
        <v>93</v>
      </c>
      <c r="D27" s="57">
        <v>205</v>
      </c>
      <c r="E27" s="58">
        <v>208.48059852570299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5.21875" style="4" bestFit="1" customWidth="1"/>
    <col min="3" max="3" width="14.88671875" style="4" bestFit="1" customWidth="1"/>
    <col min="4" max="4" width="11.88671875" style="5" bestFit="1" customWidth="1"/>
    <col min="5" max="6" width="21.77734375" style="4" bestFit="1" customWidth="1"/>
    <col min="7" max="10" width="4.5546875" style="3" customWidth="1"/>
    <col min="11" max="11" width="7.6640625" style="8" bestFit="1" customWidth="1"/>
    <col min="12" max="12" width="7.5546875" style="9" bestFit="1" customWidth="1"/>
    <col min="13" max="13" width="8.33203125" style="4" bestFit="1" customWidth="1"/>
    <col min="14" max="16384" width="9.109375" style="3"/>
  </cols>
  <sheetData>
    <row r="1" spans="1:13" s="2" customFormat="1" ht="28.95" customHeight="1" x14ac:dyDescent="0.25">
      <c r="A1" s="26" t="s">
        <v>291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292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197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43" t="s">
        <v>294</v>
      </c>
      <c r="B6" s="43" t="s">
        <v>295</v>
      </c>
      <c r="C6" s="43" t="s">
        <v>296</v>
      </c>
      <c r="D6" s="44" t="str">
        <f>"0,5856"</f>
        <v>0,5856</v>
      </c>
      <c r="E6" s="43" t="s">
        <v>22</v>
      </c>
      <c r="F6" s="43" t="s">
        <v>23</v>
      </c>
      <c r="G6" s="45" t="s">
        <v>120</v>
      </c>
      <c r="H6" s="45" t="s">
        <v>121</v>
      </c>
      <c r="I6" s="46" t="s">
        <v>100</v>
      </c>
      <c r="J6" s="46"/>
      <c r="K6" s="47" t="str">
        <f>"65,0"</f>
        <v>65,0</v>
      </c>
      <c r="L6" s="48" t="str">
        <f>"38,0640"</f>
        <v>38,0640</v>
      </c>
      <c r="M6" s="43" t="s">
        <v>42</v>
      </c>
    </row>
    <row r="8" spans="1:13" ht="15" x14ac:dyDescent="0.25">
      <c r="E8" s="49" t="s">
        <v>75</v>
      </c>
    </row>
    <row r="9" spans="1:13" ht="15" x14ac:dyDescent="0.25">
      <c r="E9" s="49" t="s">
        <v>76</v>
      </c>
    </row>
    <row r="10" spans="1:13" ht="15" x14ac:dyDescent="0.25">
      <c r="E10" s="49" t="s">
        <v>77</v>
      </c>
    </row>
    <row r="11" spans="1:13" ht="15" x14ac:dyDescent="0.25">
      <c r="E11" s="49" t="s">
        <v>78</v>
      </c>
    </row>
    <row r="12" spans="1:13" ht="15" x14ac:dyDescent="0.25">
      <c r="E12" s="49" t="s">
        <v>78</v>
      </c>
    </row>
    <row r="13" spans="1:13" ht="15" x14ac:dyDescent="0.25">
      <c r="E13" s="49" t="s">
        <v>79</v>
      </c>
    </row>
    <row r="14" spans="1:13" ht="15" x14ac:dyDescent="0.25">
      <c r="E14" s="49"/>
    </row>
    <row r="16" spans="1:13" ht="17.399999999999999" x14ac:dyDescent="0.3">
      <c r="A16" s="50" t="s">
        <v>80</v>
      </c>
      <c r="B16" s="50"/>
    </row>
    <row r="17" spans="1:5" ht="15.6" x14ac:dyDescent="0.3">
      <c r="A17" s="51" t="s">
        <v>90</v>
      </c>
      <c r="B17" s="51"/>
    </row>
    <row r="18" spans="1:5" ht="14.4" x14ac:dyDescent="0.3">
      <c r="A18" s="53"/>
      <c r="B18" s="54" t="s">
        <v>82</v>
      </c>
    </row>
    <row r="19" spans="1:5" ht="13.8" x14ac:dyDescent="0.25">
      <c r="A19" s="55" t="s">
        <v>83</v>
      </c>
      <c r="B19" s="55" t="s">
        <v>84</v>
      </c>
      <c r="C19" s="55" t="s">
        <v>85</v>
      </c>
      <c r="D19" s="56" t="s">
        <v>214</v>
      </c>
      <c r="E19" s="55" t="s">
        <v>87</v>
      </c>
    </row>
    <row r="20" spans="1:5" x14ac:dyDescent="0.25">
      <c r="A20" s="52" t="s">
        <v>293</v>
      </c>
      <c r="B20" s="4" t="s">
        <v>82</v>
      </c>
      <c r="C20" s="4" t="s">
        <v>205</v>
      </c>
      <c r="D20" s="57">
        <v>65</v>
      </c>
      <c r="E20" s="58">
        <v>38.064001202583299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5.21875" style="4" bestFit="1" customWidth="1"/>
    <col min="3" max="3" width="14.88671875" style="4" bestFit="1" customWidth="1"/>
    <col min="4" max="4" width="11.88671875" style="5" bestFit="1" customWidth="1"/>
    <col min="5" max="6" width="21.77734375" style="4" bestFit="1" customWidth="1"/>
    <col min="7" max="9" width="5.5546875" style="3" customWidth="1"/>
    <col min="10" max="10" width="4.5546875" style="3" customWidth="1"/>
    <col min="11" max="11" width="7.6640625" style="8" bestFit="1" customWidth="1"/>
    <col min="12" max="12" width="8.5546875" style="9" bestFit="1" customWidth="1"/>
    <col min="13" max="13" width="16.44140625" style="4" bestFit="1" customWidth="1"/>
    <col min="14" max="16384" width="9.109375" style="3"/>
  </cols>
  <sheetData>
    <row r="1" spans="1:13" s="2" customFormat="1" ht="28.95" customHeight="1" x14ac:dyDescent="0.25">
      <c r="A1" s="26" t="s">
        <v>275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16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63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43" t="s">
        <v>277</v>
      </c>
      <c r="B6" s="43" t="s">
        <v>278</v>
      </c>
      <c r="C6" s="43" t="s">
        <v>279</v>
      </c>
      <c r="D6" s="44" t="str">
        <f>"0,6524"</f>
        <v>0,6524</v>
      </c>
      <c r="E6" s="43" t="s">
        <v>280</v>
      </c>
      <c r="F6" s="43" t="s">
        <v>23</v>
      </c>
      <c r="G6" s="45" t="s">
        <v>69</v>
      </c>
      <c r="H6" s="45" t="s">
        <v>70</v>
      </c>
      <c r="I6" s="46" t="s">
        <v>55</v>
      </c>
      <c r="J6" s="46"/>
      <c r="K6" s="47" t="str">
        <f>"185,0"</f>
        <v>185,0</v>
      </c>
      <c r="L6" s="48" t="str">
        <f>"120,6848"</f>
        <v>120,6848</v>
      </c>
      <c r="M6" s="43" t="s">
        <v>32</v>
      </c>
    </row>
    <row r="8" spans="1:13" ht="15.6" x14ac:dyDescent="0.3">
      <c r="A8" s="41" t="s">
        <v>197</v>
      </c>
      <c r="B8" s="42"/>
      <c r="C8" s="42"/>
      <c r="D8" s="42"/>
      <c r="E8" s="42"/>
      <c r="F8" s="42"/>
      <c r="G8" s="42"/>
      <c r="H8" s="42"/>
      <c r="I8" s="42"/>
      <c r="J8" s="42"/>
    </row>
    <row r="9" spans="1:13" x14ac:dyDescent="0.25">
      <c r="A9" s="43" t="s">
        <v>282</v>
      </c>
      <c r="B9" s="43" t="s">
        <v>283</v>
      </c>
      <c r="C9" s="43" t="s">
        <v>201</v>
      </c>
      <c r="D9" s="44" t="str">
        <f>"0,5870"</f>
        <v>0,5870</v>
      </c>
      <c r="E9" s="43" t="s">
        <v>280</v>
      </c>
      <c r="F9" s="43" t="s">
        <v>23</v>
      </c>
      <c r="G9" s="45" t="s">
        <v>284</v>
      </c>
      <c r="H9" s="45" t="s">
        <v>285</v>
      </c>
      <c r="I9" s="46" t="s">
        <v>286</v>
      </c>
      <c r="J9" s="46"/>
      <c r="K9" s="47" t="str">
        <f>"277,5"</f>
        <v>277,5</v>
      </c>
      <c r="L9" s="48" t="str">
        <f>"162,8786"</f>
        <v>162,8786</v>
      </c>
      <c r="M9" s="43" t="s">
        <v>32</v>
      </c>
    </row>
    <row r="11" spans="1:13" ht="15.6" x14ac:dyDescent="0.3">
      <c r="A11" s="41" t="s">
        <v>252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 x14ac:dyDescent="0.25">
      <c r="A12" s="43" t="s">
        <v>288</v>
      </c>
      <c r="B12" s="43" t="s">
        <v>289</v>
      </c>
      <c r="C12" s="43" t="s">
        <v>290</v>
      </c>
      <c r="D12" s="44" t="str">
        <f>"0,5744"</f>
        <v>0,5744</v>
      </c>
      <c r="E12" s="43" t="s">
        <v>222</v>
      </c>
      <c r="F12" s="43" t="s">
        <v>23</v>
      </c>
      <c r="G12" s="46" t="s">
        <v>286</v>
      </c>
      <c r="H12" s="46" t="s">
        <v>286</v>
      </c>
      <c r="I12" s="45" t="s">
        <v>286</v>
      </c>
      <c r="J12" s="46"/>
      <c r="K12" s="47" t="str">
        <f>"285,0"</f>
        <v>285,0</v>
      </c>
      <c r="L12" s="48" t="str">
        <f>"163,7040"</f>
        <v>163,7040</v>
      </c>
      <c r="M12" s="43" t="s">
        <v>42</v>
      </c>
    </row>
    <row r="14" spans="1:13" ht="15" x14ac:dyDescent="0.25">
      <c r="E14" s="49" t="s">
        <v>75</v>
      </c>
    </row>
    <row r="15" spans="1:13" ht="15" x14ac:dyDescent="0.25">
      <c r="E15" s="49" t="s">
        <v>76</v>
      </c>
    </row>
    <row r="16" spans="1:13" ht="15" x14ac:dyDescent="0.25">
      <c r="E16" s="49" t="s">
        <v>77</v>
      </c>
    </row>
    <row r="17" spans="1:5" ht="15" x14ac:dyDescent="0.25">
      <c r="E17" s="49" t="s">
        <v>78</v>
      </c>
    </row>
    <row r="18" spans="1:5" ht="15" x14ac:dyDescent="0.25">
      <c r="E18" s="49" t="s">
        <v>78</v>
      </c>
    </row>
    <row r="19" spans="1:5" ht="15" x14ac:dyDescent="0.25">
      <c r="E19" s="49" t="s">
        <v>79</v>
      </c>
    </row>
    <row r="20" spans="1:5" ht="15" x14ac:dyDescent="0.25">
      <c r="E20" s="49"/>
    </row>
    <row r="22" spans="1:5" ht="17.399999999999999" x14ac:dyDescent="0.3">
      <c r="A22" s="50" t="s">
        <v>80</v>
      </c>
      <c r="B22" s="50"/>
    </row>
    <row r="23" spans="1:5" ht="15.6" x14ac:dyDescent="0.3">
      <c r="A23" s="51" t="s">
        <v>90</v>
      </c>
      <c r="B23" s="51"/>
    </row>
    <row r="24" spans="1:5" ht="14.4" x14ac:dyDescent="0.3">
      <c r="A24" s="53"/>
      <c r="B24" s="54" t="s">
        <v>82</v>
      </c>
    </row>
    <row r="25" spans="1:5" ht="13.8" x14ac:dyDescent="0.25">
      <c r="A25" s="55" t="s">
        <v>83</v>
      </c>
      <c r="B25" s="55" t="s">
        <v>84</v>
      </c>
      <c r="C25" s="55" t="s">
        <v>85</v>
      </c>
      <c r="D25" s="56" t="s">
        <v>214</v>
      </c>
      <c r="E25" s="55" t="s">
        <v>87</v>
      </c>
    </row>
    <row r="26" spans="1:5" x14ac:dyDescent="0.25">
      <c r="A26" s="52" t="s">
        <v>287</v>
      </c>
      <c r="B26" s="4" t="s">
        <v>82</v>
      </c>
      <c r="C26" s="4" t="s">
        <v>265</v>
      </c>
      <c r="D26" s="57">
        <v>285</v>
      </c>
      <c r="E26" s="58">
        <v>163.70400220155699</v>
      </c>
    </row>
    <row r="27" spans="1:5" x14ac:dyDescent="0.25">
      <c r="A27" s="52" t="s">
        <v>281</v>
      </c>
      <c r="B27" s="4" t="s">
        <v>82</v>
      </c>
      <c r="C27" s="4" t="s">
        <v>205</v>
      </c>
      <c r="D27" s="57">
        <v>277.5</v>
      </c>
      <c r="E27" s="58">
        <v>162.87862613797199</v>
      </c>
    </row>
    <row r="28" spans="1:5" x14ac:dyDescent="0.25">
      <c r="A28" s="52" t="s">
        <v>276</v>
      </c>
      <c r="B28" s="4" t="s">
        <v>82</v>
      </c>
      <c r="C28" s="4" t="s">
        <v>93</v>
      </c>
      <c r="D28" s="57">
        <v>185</v>
      </c>
      <c r="E28" s="58">
        <v>120.684751570225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29.88671875" style="4" bestFit="1" customWidth="1"/>
    <col min="3" max="3" width="14.88671875" style="4" bestFit="1" customWidth="1"/>
    <col min="4" max="4" width="11.88671875" style="5" bestFit="1" customWidth="1"/>
    <col min="5" max="5" width="21.77734375" style="4" bestFit="1" customWidth="1"/>
    <col min="6" max="6" width="32" style="4" bestFit="1" customWidth="1"/>
    <col min="7" max="9" width="5.5546875" style="3" customWidth="1"/>
    <col min="10" max="10" width="4.5546875" style="3" customWidth="1"/>
    <col min="11" max="11" width="7.6640625" style="8" bestFit="1" customWidth="1"/>
    <col min="12" max="12" width="8.5546875" style="9" bestFit="1" customWidth="1"/>
    <col min="13" max="13" width="8.33203125" style="4" bestFit="1" customWidth="1"/>
    <col min="14" max="16384" width="9.109375" style="3"/>
  </cols>
  <sheetData>
    <row r="1" spans="1:13" s="2" customFormat="1" ht="28.95" customHeight="1" x14ac:dyDescent="0.25">
      <c r="A1" s="26" t="s">
        <v>269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252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29" t="s">
        <v>271</v>
      </c>
      <c r="B6" s="29" t="s">
        <v>272</v>
      </c>
      <c r="C6" s="29" t="s">
        <v>273</v>
      </c>
      <c r="D6" s="30" t="str">
        <f>"0,5750"</f>
        <v>0,5750</v>
      </c>
      <c r="E6" s="29" t="s">
        <v>156</v>
      </c>
      <c r="F6" s="29" t="s">
        <v>157</v>
      </c>
      <c r="G6" s="31" t="s">
        <v>196</v>
      </c>
      <c r="H6" s="31" t="s">
        <v>185</v>
      </c>
      <c r="I6" s="32" t="s">
        <v>258</v>
      </c>
      <c r="J6" s="32"/>
      <c r="K6" s="33" t="str">
        <f>"200,0"</f>
        <v>200,0</v>
      </c>
      <c r="L6" s="34" t="str">
        <f>"115,0000"</f>
        <v>115,0000</v>
      </c>
      <c r="M6" s="29" t="s">
        <v>42</v>
      </c>
    </row>
    <row r="7" spans="1:13" x14ac:dyDescent="0.25">
      <c r="A7" s="35" t="s">
        <v>271</v>
      </c>
      <c r="B7" s="35" t="s">
        <v>274</v>
      </c>
      <c r="C7" s="35" t="s">
        <v>273</v>
      </c>
      <c r="D7" s="36" t="str">
        <f>"0,5750"</f>
        <v>0,5750</v>
      </c>
      <c r="E7" s="35" t="s">
        <v>156</v>
      </c>
      <c r="F7" s="35" t="s">
        <v>157</v>
      </c>
      <c r="G7" s="37" t="s">
        <v>196</v>
      </c>
      <c r="H7" s="37" t="s">
        <v>185</v>
      </c>
      <c r="I7" s="38" t="s">
        <v>258</v>
      </c>
      <c r="J7" s="38"/>
      <c r="K7" s="39" t="str">
        <f>"200,0"</f>
        <v>200,0</v>
      </c>
      <c r="L7" s="40" t="str">
        <f>"145,8200"</f>
        <v>145,8200</v>
      </c>
      <c r="M7" s="35" t="s">
        <v>42</v>
      </c>
    </row>
    <row r="9" spans="1:13" ht="15" x14ac:dyDescent="0.25">
      <c r="E9" s="49" t="s">
        <v>75</v>
      </c>
    </row>
    <row r="10" spans="1:13" ht="15" x14ac:dyDescent="0.25">
      <c r="E10" s="49" t="s">
        <v>76</v>
      </c>
    </row>
    <row r="11" spans="1:13" ht="15" x14ac:dyDescent="0.25">
      <c r="E11" s="49" t="s">
        <v>77</v>
      </c>
    </row>
    <row r="12" spans="1:13" ht="15" x14ac:dyDescent="0.25">
      <c r="E12" s="49" t="s">
        <v>78</v>
      </c>
    </row>
    <row r="13" spans="1:13" ht="15" x14ac:dyDescent="0.25">
      <c r="E13" s="49" t="s">
        <v>78</v>
      </c>
    </row>
    <row r="14" spans="1:13" ht="15" x14ac:dyDescent="0.25">
      <c r="E14" s="49" t="s">
        <v>79</v>
      </c>
    </row>
    <row r="15" spans="1:13" ht="15" x14ac:dyDescent="0.25">
      <c r="E15" s="49"/>
    </row>
    <row r="17" spans="1:5" ht="17.399999999999999" x14ac:dyDescent="0.3">
      <c r="A17" s="50" t="s">
        <v>80</v>
      </c>
      <c r="B17" s="50"/>
    </row>
    <row r="18" spans="1:5" ht="15.6" x14ac:dyDescent="0.3">
      <c r="A18" s="51" t="s">
        <v>90</v>
      </c>
      <c r="B18" s="51"/>
    </row>
    <row r="19" spans="1:5" ht="14.4" x14ac:dyDescent="0.3">
      <c r="A19" s="53"/>
      <c r="B19" s="54" t="s">
        <v>82</v>
      </c>
    </row>
    <row r="20" spans="1:5" ht="13.8" x14ac:dyDescent="0.25">
      <c r="A20" s="55" t="s">
        <v>83</v>
      </c>
      <c r="B20" s="55" t="s">
        <v>84</v>
      </c>
      <c r="C20" s="55" t="s">
        <v>85</v>
      </c>
      <c r="D20" s="56" t="s">
        <v>214</v>
      </c>
      <c r="E20" s="55" t="s">
        <v>87</v>
      </c>
    </row>
    <row r="21" spans="1:5" x14ac:dyDescent="0.25">
      <c r="A21" s="52" t="s">
        <v>270</v>
      </c>
      <c r="B21" s="4" t="s">
        <v>82</v>
      </c>
      <c r="C21" s="4" t="s">
        <v>265</v>
      </c>
      <c r="D21" s="57">
        <v>200</v>
      </c>
      <c r="E21" s="58">
        <v>114.999997615814</v>
      </c>
    </row>
    <row r="23" spans="1:5" ht="14.4" x14ac:dyDescent="0.3">
      <c r="A23" s="53"/>
      <c r="B23" s="54" t="s">
        <v>91</v>
      </c>
    </row>
    <row r="24" spans="1:5" ht="13.8" x14ac:dyDescent="0.25">
      <c r="A24" s="55" t="s">
        <v>83</v>
      </c>
      <c r="B24" s="55" t="s">
        <v>84</v>
      </c>
      <c r="C24" s="55" t="s">
        <v>85</v>
      </c>
      <c r="D24" s="56" t="s">
        <v>214</v>
      </c>
      <c r="E24" s="55" t="s">
        <v>87</v>
      </c>
    </row>
    <row r="25" spans="1:5" x14ac:dyDescent="0.25">
      <c r="A25" s="52" t="s">
        <v>270</v>
      </c>
      <c r="B25" s="4" t="s">
        <v>92</v>
      </c>
      <c r="C25" s="4" t="s">
        <v>265</v>
      </c>
      <c r="D25" s="57">
        <v>200</v>
      </c>
      <c r="E25" s="58">
        <v>145.819996976852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Y2"/>
    </sheetView>
  </sheetViews>
  <sheetFormatPr defaultColWidth="9.109375" defaultRowHeight="13.2" x14ac:dyDescent="0.25"/>
  <cols>
    <col min="1" max="1" width="24.6640625" style="4" bestFit="1" customWidth="1"/>
    <col min="2" max="2" width="33" style="4" bestFit="1" customWidth="1"/>
    <col min="3" max="3" width="14.88671875" style="4" bestFit="1" customWidth="1"/>
    <col min="4" max="4" width="11.88671875" style="5" bestFit="1" customWidth="1"/>
    <col min="5" max="5" width="21.77734375" style="4" bestFit="1" customWidth="1"/>
    <col min="6" max="6" width="32" style="4" bestFit="1" customWidth="1"/>
    <col min="7" max="9" width="5.5546875" style="3" customWidth="1"/>
    <col min="10" max="10" width="4.5546875" style="3" customWidth="1"/>
    <col min="11" max="11" width="7.6640625" style="8" bestFit="1" customWidth="1"/>
    <col min="12" max="12" width="8.5546875" style="9" bestFit="1" customWidth="1"/>
    <col min="13" max="13" width="12.6640625" style="4" bestFit="1" customWidth="1"/>
    <col min="14" max="16384" width="9.109375" style="3"/>
  </cols>
  <sheetData>
    <row r="1" spans="1:13" s="2" customFormat="1" ht="28.95" customHeight="1" x14ac:dyDescent="0.25">
      <c r="A1" s="26" t="s">
        <v>224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1.95" customHeight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 x14ac:dyDescent="0.25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1" t="s">
        <v>206</v>
      </c>
      <c r="L3" s="11" t="s">
        <v>3</v>
      </c>
      <c r="M3" s="24" t="s">
        <v>2</v>
      </c>
    </row>
    <row r="4" spans="1:13" s="1" customFormat="1" ht="21" customHeight="1" thickBot="1" x14ac:dyDescent="0.3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.6" x14ac:dyDescent="0.3">
      <c r="A5" s="27" t="s">
        <v>43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x14ac:dyDescent="0.25">
      <c r="A6" s="43" t="s">
        <v>226</v>
      </c>
      <c r="B6" s="43" t="s">
        <v>227</v>
      </c>
      <c r="C6" s="43" t="s">
        <v>228</v>
      </c>
      <c r="D6" s="44" t="str">
        <f>"0,7797"</f>
        <v>0,7797</v>
      </c>
      <c r="E6" s="43" t="s">
        <v>99</v>
      </c>
      <c r="F6" s="43" t="s">
        <v>23</v>
      </c>
      <c r="G6" s="45" t="s">
        <v>52</v>
      </c>
      <c r="H6" s="45" t="s">
        <v>71</v>
      </c>
      <c r="I6" s="45" t="s">
        <v>30</v>
      </c>
      <c r="J6" s="46"/>
      <c r="K6" s="47" t="str">
        <f>"115,0"</f>
        <v>115,0</v>
      </c>
      <c r="L6" s="48" t="str">
        <f>"89,6655"</f>
        <v>89,6655</v>
      </c>
      <c r="M6" s="43" t="s">
        <v>95</v>
      </c>
    </row>
    <row r="8" spans="1:13" ht="15.6" x14ac:dyDescent="0.3">
      <c r="A8" s="41" t="s">
        <v>186</v>
      </c>
      <c r="B8" s="42"/>
      <c r="C8" s="42"/>
      <c r="D8" s="42"/>
      <c r="E8" s="42"/>
      <c r="F8" s="42"/>
      <c r="G8" s="42"/>
      <c r="H8" s="42"/>
      <c r="I8" s="42"/>
      <c r="J8" s="42"/>
    </row>
    <row r="9" spans="1:13" x14ac:dyDescent="0.25">
      <c r="A9" s="43" t="s">
        <v>230</v>
      </c>
      <c r="B9" s="43" t="s">
        <v>231</v>
      </c>
      <c r="C9" s="43" t="s">
        <v>232</v>
      </c>
      <c r="D9" s="44" t="str">
        <f>"0,7172"</f>
        <v>0,7172</v>
      </c>
      <c r="E9" s="43" t="s">
        <v>22</v>
      </c>
      <c r="F9" s="43" t="s">
        <v>157</v>
      </c>
      <c r="G9" s="46" t="s">
        <v>24</v>
      </c>
      <c r="H9" s="46" t="s">
        <v>164</v>
      </c>
      <c r="I9" s="46" t="s">
        <v>164</v>
      </c>
      <c r="J9" s="46"/>
      <c r="K9" s="47" t="str">
        <f>"0.00"</f>
        <v>0.00</v>
      </c>
      <c r="L9" s="48" t="str">
        <f>"0,0000"</f>
        <v>0,0000</v>
      </c>
      <c r="M9" s="43" t="s">
        <v>42</v>
      </c>
    </row>
    <row r="11" spans="1:13" ht="15.6" x14ac:dyDescent="0.3">
      <c r="A11" s="41" t="s">
        <v>63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 x14ac:dyDescent="0.25">
      <c r="A12" s="29" t="s">
        <v>234</v>
      </c>
      <c r="B12" s="29" t="s">
        <v>235</v>
      </c>
      <c r="C12" s="29" t="s">
        <v>236</v>
      </c>
      <c r="D12" s="30" t="str">
        <f>"0,6518"</f>
        <v>0,6518</v>
      </c>
      <c r="E12" s="29" t="s">
        <v>105</v>
      </c>
      <c r="F12" s="29" t="s">
        <v>23</v>
      </c>
      <c r="G12" s="31" t="s">
        <v>237</v>
      </c>
      <c r="H12" s="31" t="s">
        <v>118</v>
      </c>
      <c r="I12" s="31" t="s">
        <v>50</v>
      </c>
      <c r="J12" s="32"/>
      <c r="K12" s="33" t="str">
        <f>"145,0"</f>
        <v>145,0</v>
      </c>
      <c r="L12" s="34" t="str">
        <f>"94,5182"</f>
        <v>94,5182</v>
      </c>
      <c r="M12" s="29" t="s">
        <v>42</v>
      </c>
    </row>
    <row r="13" spans="1:13" x14ac:dyDescent="0.25">
      <c r="A13" s="35" t="s">
        <v>239</v>
      </c>
      <c r="B13" s="35" t="s">
        <v>240</v>
      </c>
      <c r="C13" s="35" t="s">
        <v>139</v>
      </c>
      <c r="D13" s="36" t="str">
        <f>"0,6730"</f>
        <v>0,6730</v>
      </c>
      <c r="E13" s="35" t="s">
        <v>105</v>
      </c>
      <c r="F13" s="35" t="s">
        <v>241</v>
      </c>
      <c r="G13" s="37" t="s">
        <v>140</v>
      </c>
      <c r="H13" s="37" t="s">
        <v>141</v>
      </c>
      <c r="I13" s="38" t="s">
        <v>38</v>
      </c>
      <c r="J13" s="38"/>
      <c r="K13" s="39" t="str">
        <f>"82,5"</f>
        <v>82,5</v>
      </c>
      <c r="L13" s="40" t="str">
        <f>"83,9007"</f>
        <v>83,9007</v>
      </c>
      <c r="M13" s="35" t="s">
        <v>42</v>
      </c>
    </row>
    <row r="15" spans="1:13" ht="15.6" x14ac:dyDescent="0.3">
      <c r="A15" s="41" t="s">
        <v>197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3" x14ac:dyDescent="0.25">
      <c r="A16" s="29" t="s">
        <v>243</v>
      </c>
      <c r="B16" s="29" t="s">
        <v>244</v>
      </c>
      <c r="C16" s="29" t="s">
        <v>245</v>
      </c>
      <c r="D16" s="30" t="str">
        <f>"0,5911"</f>
        <v>0,5911</v>
      </c>
      <c r="E16" s="29" t="s">
        <v>22</v>
      </c>
      <c r="F16" s="29" t="s">
        <v>23</v>
      </c>
      <c r="G16" s="32" t="s">
        <v>246</v>
      </c>
      <c r="H16" s="31" t="s">
        <v>69</v>
      </c>
      <c r="I16" s="32" t="s">
        <v>70</v>
      </c>
      <c r="J16" s="32"/>
      <c r="K16" s="33" t="str">
        <f>"175,0"</f>
        <v>175,0</v>
      </c>
      <c r="L16" s="34" t="str">
        <f>"103,4425"</f>
        <v>103,4425</v>
      </c>
      <c r="M16" s="29" t="s">
        <v>42</v>
      </c>
    </row>
    <row r="17" spans="1:13" x14ac:dyDescent="0.25">
      <c r="A17" s="59" t="s">
        <v>248</v>
      </c>
      <c r="B17" s="59" t="s">
        <v>249</v>
      </c>
      <c r="C17" s="59" t="s">
        <v>250</v>
      </c>
      <c r="D17" s="60" t="str">
        <f>"0,5940"</f>
        <v>0,5940</v>
      </c>
      <c r="E17" s="59" t="s">
        <v>22</v>
      </c>
      <c r="F17" s="59" t="s">
        <v>251</v>
      </c>
      <c r="G17" s="62" t="s">
        <v>26</v>
      </c>
      <c r="H17" s="62" t="s">
        <v>41</v>
      </c>
      <c r="I17" s="62" t="s">
        <v>71</v>
      </c>
      <c r="J17" s="61"/>
      <c r="K17" s="63" t="str">
        <f>"112,5"</f>
        <v>112,5</v>
      </c>
      <c r="L17" s="64" t="str">
        <f>"66,8250"</f>
        <v>66,8250</v>
      </c>
      <c r="M17" s="59" t="s">
        <v>42</v>
      </c>
    </row>
    <row r="18" spans="1:13" x14ac:dyDescent="0.25">
      <c r="A18" s="35" t="s">
        <v>210</v>
      </c>
      <c r="B18" s="35" t="s">
        <v>211</v>
      </c>
      <c r="C18" s="35" t="s">
        <v>212</v>
      </c>
      <c r="D18" s="36" t="str">
        <f>"0,5875"</f>
        <v>0,5875</v>
      </c>
      <c r="E18" s="35" t="s">
        <v>130</v>
      </c>
      <c r="F18" s="35" t="s">
        <v>117</v>
      </c>
      <c r="G18" s="37" t="s">
        <v>40</v>
      </c>
      <c r="H18" s="37" t="s">
        <v>52</v>
      </c>
      <c r="I18" s="37" t="s">
        <v>41</v>
      </c>
      <c r="J18" s="38"/>
      <c r="K18" s="39" t="str">
        <f>"110,0"</f>
        <v>110,0</v>
      </c>
      <c r="L18" s="40" t="str">
        <f>"101,8403"</f>
        <v>101,8403</v>
      </c>
      <c r="M18" s="35" t="s">
        <v>42</v>
      </c>
    </row>
    <row r="20" spans="1:13" ht="15.6" x14ac:dyDescent="0.3">
      <c r="A20" s="41" t="s">
        <v>252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3" x14ac:dyDescent="0.25">
      <c r="A21" s="43" t="s">
        <v>254</v>
      </c>
      <c r="B21" s="43" t="s">
        <v>255</v>
      </c>
      <c r="C21" s="43" t="s">
        <v>256</v>
      </c>
      <c r="D21" s="44" t="str">
        <f>"0,5755"</f>
        <v>0,5755</v>
      </c>
      <c r="E21" s="43" t="s">
        <v>257</v>
      </c>
      <c r="F21" s="43" t="s">
        <v>23</v>
      </c>
      <c r="G21" s="45" t="s">
        <v>196</v>
      </c>
      <c r="H21" s="45" t="s">
        <v>185</v>
      </c>
      <c r="I21" s="45" t="s">
        <v>258</v>
      </c>
      <c r="J21" s="46"/>
      <c r="K21" s="47" t="str">
        <f>"210,0"</f>
        <v>210,0</v>
      </c>
      <c r="L21" s="48" t="str">
        <f>"120,8445"</f>
        <v>120,8445</v>
      </c>
      <c r="M21" s="43" t="s">
        <v>42</v>
      </c>
    </row>
    <row r="23" spans="1:13" ht="15.6" x14ac:dyDescent="0.3">
      <c r="A23" s="41" t="s">
        <v>259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3" x14ac:dyDescent="0.25">
      <c r="A24" s="43" t="s">
        <v>261</v>
      </c>
      <c r="B24" s="43" t="s">
        <v>262</v>
      </c>
      <c r="C24" s="43" t="s">
        <v>263</v>
      </c>
      <c r="D24" s="44" t="str">
        <f>"0,5215"</f>
        <v>0,5215</v>
      </c>
      <c r="E24" s="43" t="s">
        <v>22</v>
      </c>
      <c r="F24" s="43" t="s">
        <v>23</v>
      </c>
      <c r="G24" s="45" t="s">
        <v>54</v>
      </c>
      <c r="H24" s="46" t="s">
        <v>264</v>
      </c>
      <c r="I24" s="46" t="s">
        <v>264</v>
      </c>
      <c r="J24" s="46"/>
      <c r="K24" s="47" t="str">
        <f>"182,5"</f>
        <v>182,5</v>
      </c>
      <c r="L24" s="48" t="str">
        <f>"95,1783"</f>
        <v>95,1783</v>
      </c>
      <c r="M24" s="43" t="s">
        <v>42</v>
      </c>
    </row>
    <row r="26" spans="1:13" ht="15" x14ac:dyDescent="0.25">
      <c r="E26" s="49" t="s">
        <v>75</v>
      </c>
    </row>
    <row r="27" spans="1:13" ht="15" x14ac:dyDescent="0.25">
      <c r="E27" s="49" t="s">
        <v>76</v>
      </c>
    </row>
    <row r="28" spans="1:13" ht="15" x14ac:dyDescent="0.25">
      <c r="E28" s="49" t="s">
        <v>77</v>
      </c>
    </row>
    <row r="29" spans="1:13" ht="15" x14ac:dyDescent="0.25">
      <c r="E29" s="49" t="s">
        <v>78</v>
      </c>
    </row>
    <row r="30" spans="1:13" ht="15" x14ac:dyDescent="0.25">
      <c r="E30" s="49" t="s">
        <v>78</v>
      </c>
    </row>
    <row r="31" spans="1:13" ht="15" x14ac:dyDescent="0.25">
      <c r="E31" s="49" t="s">
        <v>79</v>
      </c>
    </row>
    <row r="32" spans="1:13" ht="15" x14ac:dyDescent="0.25">
      <c r="E32" s="49"/>
    </row>
    <row r="34" spans="1:5" ht="17.399999999999999" x14ac:dyDescent="0.3">
      <c r="A34" s="50" t="s">
        <v>80</v>
      </c>
      <c r="B34" s="50"/>
    </row>
    <row r="35" spans="1:5" ht="15.6" x14ac:dyDescent="0.3">
      <c r="A35" s="51" t="s">
        <v>90</v>
      </c>
      <c r="B35" s="51"/>
    </row>
    <row r="36" spans="1:5" ht="14.4" x14ac:dyDescent="0.3">
      <c r="A36" s="53"/>
      <c r="B36" s="54" t="s">
        <v>82</v>
      </c>
    </row>
    <row r="37" spans="1:5" ht="13.8" x14ac:dyDescent="0.25">
      <c r="A37" s="55" t="s">
        <v>83</v>
      </c>
      <c r="B37" s="55" t="s">
        <v>84</v>
      </c>
      <c r="C37" s="55" t="s">
        <v>85</v>
      </c>
      <c r="D37" s="56" t="s">
        <v>214</v>
      </c>
      <c r="E37" s="55" t="s">
        <v>87</v>
      </c>
    </row>
    <row r="38" spans="1:5" x14ac:dyDescent="0.25">
      <c r="A38" s="52" t="s">
        <v>253</v>
      </c>
      <c r="B38" s="4" t="s">
        <v>82</v>
      </c>
      <c r="C38" s="4" t="s">
        <v>265</v>
      </c>
      <c r="D38" s="57">
        <v>210</v>
      </c>
      <c r="E38" s="58">
        <v>120.844500660896</v>
      </c>
    </row>
    <row r="39" spans="1:5" x14ac:dyDescent="0.25">
      <c r="A39" s="52" t="s">
        <v>242</v>
      </c>
      <c r="B39" s="4" t="s">
        <v>82</v>
      </c>
      <c r="C39" s="4" t="s">
        <v>205</v>
      </c>
      <c r="D39" s="57">
        <v>175</v>
      </c>
      <c r="E39" s="58">
        <v>103.442496061325</v>
      </c>
    </row>
    <row r="40" spans="1:5" x14ac:dyDescent="0.25">
      <c r="A40" s="52" t="s">
        <v>233</v>
      </c>
      <c r="B40" s="4" t="s">
        <v>82</v>
      </c>
      <c r="C40" s="4" t="s">
        <v>93</v>
      </c>
      <c r="D40" s="57">
        <v>145</v>
      </c>
      <c r="E40" s="58">
        <v>94.518247842788696</v>
      </c>
    </row>
    <row r="41" spans="1:5" x14ac:dyDescent="0.25">
      <c r="A41" s="52" t="s">
        <v>225</v>
      </c>
      <c r="B41" s="4" t="s">
        <v>82</v>
      </c>
      <c r="C41" s="4" t="s">
        <v>88</v>
      </c>
      <c r="D41" s="57">
        <v>115</v>
      </c>
      <c r="E41" s="58">
        <v>89.665497839450794</v>
      </c>
    </row>
    <row r="43" spans="1:5" ht="14.4" x14ac:dyDescent="0.3">
      <c r="A43" s="53"/>
      <c r="B43" s="54" t="s">
        <v>266</v>
      </c>
    </row>
    <row r="44" spans="1:5" ht="13.8" x14ac:dyDescent="0.25">
      <c r="A44" s="55" t="s">
        <v>83</v>
      </c>
      <c r="B44" s="55" t="s">
        <v>84</v>
      </c>
      <c r="C44" s="55" t="s">
        <v>85</v>
      </c>
      <c r="D44" s="56" t="s">
        <v>214</v>
      </c>
      <c r="E44" s="55" t="s">
        <v>87</v>
      </c>
    </row>
    <row r="45" spans="1:5" x14ac:dyDescent="0.25">
      <c r="A45" s="52" t="s">
        <v>260</v>
      </c>
      <c r="B45" s="4" t="s">
        <v>267</v>
      </c>
      <c r="C45" s="4" t="s">
        <v>268</v>
      </c>
      <c r="D45" s="57">
        <v>182.5</v>
      </c>
      <c r="E45" s="58">
        <v>95.178317129611997</v>
      </c>
    </row>
    <row r="47" spans="1:5" ht="14.4" x14ac:dyDescent="0.3">
      <c r="A47" s="53"/>
      <c r="B47" s="54" t="s">
        <v>91</v>
      </c>
    </row>
    <row r="48" spans="1:5" ht="13.8" x14ac:dyDescent="0.25">
      <c r="A48" s="55" t="s">
        <v>83</v>
      </c>
      <c r="B48" s="55" t="s">
        <v>84</v>
      </c>
      <c r="C48" s="55" t="s">
        <v>85</v>
      </c>
      <c r="D48" s="56" t="s">
        <v>214</v>
      </c>
      <c r="E48" s="55" t="s">
        <v>87</v>
      </c>
    </row>
    <row r="49" spans="1:5" x14ac:dyDescent="0.25">
      <c r="A49" s="52" t="s">
        <v>209</v>
      </c>
      <c r="B49" s="4" t="s">
        <v>215</v>
      </c>
      <c r="C49" s="4" t="s">
        <v>205</v>
      </c>
      <c r="D49" s="57">
        <v>110</v>
      </c>
      <c r="E49" s="58">
        <v>101.840336761475</v>
      </c>
    </row>
    <row r="50" spans="1:5" x14ac:dyDescent="0.25">
      <c r="A50" s="52" t="s">
        <v>238</v>
      </c>
      <c r="B50" s="4" t="s">
        <v>215</v>
      </c>
      <c r="C50" s="4" t="s">
        <v>93</v>
      </c>
      <c r="D50" s="57">
        <v>82.5</v>
      </c>
      <c r="E50" s="58">
        <v>83.900728674977998</v>
      </c>
    </row>
    <row r="51" spans="1:5" x14ac:dyDescent="0.25">
      <c r="A51" s="52" t="s">
        <v>247</v>
      </c>
      <c r="B51" s="4" t="s">
        <v>203</v>
      </c>
      <c r="C51" s="4" t="s">
        <v>205</v>
      </c>
      <c r="D51" s="57">
        <v>112.5</v>
      </c>
      <c r="E51" s="58">
        <v>66.824997961521106</v>
      </c>
    </row>
  </sheetData>
  <mergeCells count="17">
    <mergeCell ref="A8:J8"/>
    <mergeCell ref="A11:J11"/>
    <mergeCell ref="A15:J15"/>
    <mergeCell ref="A20:J20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Лист44</vt:lpstr>
      <vt:lpstr>IPС-A Двоеборье б.э.</vt:lpstr>
      <vt:lpstr>IPС Двоеборье экип</vt:lpstr>
      <vt:lpstr>IPC-A Подъем на бицепс</vt:lpstr>
      <vt:lpstr>IPC-A Тяга без экипировки</vt:lpstr>
      <vt:lpstr>IPC Подъем на бицепс</vt:lpstr>
      <vt:lpstr>IPC Тяга без экипировки</vt:lpstr>
      <vt:lpstr>IPC-A Жим софт стандарт</vt:lpstr>
      <vt:lpstr>IPC-A Жим лежа без экип</vt:lpstr>
      <vt:lpstr>IPC Жим лежа без экип</vt:lpstr>
      <vt:lpstr>IPC-A Народный жим</vt:lpstr>
      <vt:lpstr>IPC-A ПЛ без экипировки</vt:lpstr>
      <vt:lpstr>IPC-A Клас. ПЛ</vt:lpstr>
      <vt:lpstr>IPC Клас. ПЛ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2015-07-16T19:10:53Z</cp:lastPrinted>
  <dcterms:created xsi:type="dcterms:W3CDTF">2002-06-16T13:36:44Z</dcterms:created>
  <dcterms:modified xsi:type="dcterms:W3CDTF">2023-08-19T13:19:58Z</dcterms:modified>
</cp:coreProperties>
</file>