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activeTab="4"/>
  </bookViews>
  <sheets>
    <sheet name="Лист11" sheetId="16" r:id="rId1"/>
    <sheet name="IPС Двоеборье б.э." sheetId="15" r:id="rId2"/>
    <sheet name="IPC Ягодичный мост" sheetId="14" r:id="rId3"/>
    <sheet name="IPC Присед без экип" sheetId="13" r:id="rId4"/>
    <sheet name="IPC C.подъем на бицепс" sheetId="12" r:id="rId5"/>
    <sheet name="IPC Тяга без экипировки" sheetId="11" r:id="rId6"/>
    <sheet name="IPC Жим софт многослой" sheetId="10" r:id="rId7"/>
    <sheet name="IPC Жим однослой" sheetId="9" r:id="rId8"/>
    <sheet name="IPC Жим лежа без экип" sheetId="8" r:id="rId9"/>
    <sheet name="IPC Народный жим (1_2)" sheetId="7" r:id="rId10"/>
    <sheet name="IPC Народный жим" sheetId="6" r:id="rId11"/>
    <sheet name="IPC ПЛ без экипировки" sheetId="5" r:id="rId12"/>
  </sheets>
  <definedNames>
    <definedName name="_FilterDatabase" localSheetId="11" hidden="1">'IPC ПЛ без экипировки'!$A$1:$S$3</definedName>
  </definedNames>
  <calcPr calcId="124519" refMode="R1C1"/>
</workbook>
</file>

<file path=xl/calcChain.xml><?xml version="1.0" encoding="utf-8"?>
<calcChain xmlns="http://schemas.openxmlformats.org/spreadsheetml/2006/main">
  <c r="P7" i="15"/>
  <c r="O7"/>
  <c r="D7"/>
  <c r="P6"/>
  <c r="O6"/>
  <c r="D6"/>
  <c r="L13" i="14"/>
  <c r="K13"/>
  <c r="D13"/>
  <c r="L12"/>
  <c r="K12"/>
  <c r="D12"/>
  <c r="L9"/>
  <c r="K9"/>
  <c r="D9"/>
  <c r="L6"/>
  <c r="K6"/>
  <c r="D6"/>
  <c r="L9" i="13"/>
  <c r="K9"/>
  <c r="D9"/>
  <c r="L6"/>
  <c r="K6"/>
  <c r="D6"/>
  <c r="L44" i="12"/>
  <c r="K44"/>
  <c r="D44"/>
  <c r="L43"/>
  <c r="K43"/>
  <c r="D43"/>
  <c r="L40"/>
  <c r="K40"/>
  <c r="D40"/>
  <c r="L39"/>
  <c r="K39"/>
  <c r="D39"/>
  <c r="L38"/>
  <c r="K38"/>
  <c r="D38"/>
  <c r="L37"/>
  <c r="K37"/>
  <c r="D37"/>
  <c r="L34"/>
  <c r="K34"/>
  <c r="D34"/>
  <c r="L33"/>
  <c r="K33"/>
  <c r="D33"/>
  <c r="L32"/>
  <c r="K32"/>
  <c r="D32"/>
  <c r="L31"/>
  <c r="K31"/>
  <c r="D31"/>
  <c r="L28"/>
  <c r="K28"/>
  <c r="D28"/>
  <c r="L27"/>
  <c r="K27"/>
  <c r="D27"/>
  <c r="L26"/>
  <c r="K26"/>
  <c r="D26"/>
  <c r="L25"/>
  <c r="K25"/>
  <c r="D25"/>
  <c r="L24"/>
  <c r="K24"/>
  <c r="D24"/>
  <c r="L21"/>
  <c r="K21"/>
  <c r="D21"/>
  <c r="L18"/>
  <c r="K18"/>
  <c r="D18"/>
  <c r="L15"/>
  <c r="K15"/>
  <c r="D15"/>
  <c r="L12"/>
  <c r="K12"/>
  <c r="D12"/>
  <c r="L9"/>
  <c r="K9"/>
  <c r="D9"/>
  <c r="L6"/>
  <c r="K6"/>
  <c r="D6"/>
  <c r="L24" i="11"/>
  <c r="K24"/>
  <c r="D24"/>
  <c r="L21"/>
  <c r="K21"/>
  <c r="D21"/>
  <c r="L20"/>
  <c r="K20"/>
  <c r="D20"/>
  <c r="L17"/>
  <c r="K17"/>
  <c r="D17"/>
  <c r="L14"/>
  <c r="K14"/>
  <c r="D14"/>
  <c r="L13"/>
  <c r="K13"/>
  <c r="D13"/>
  <c r="L10"/>
  <c r="K10"/>
  <c r="D10"/>
  <c r="L9"/>
  <c r="K9"/>
  <c r="D9"/>
  <c r="L6"/>
  <c r="K6"/>
  <c r="D6"/>
  <c r="L6" i="10"/>
  <c r="K6"/>
  <c r="D6"/>
  <c r="L6" i="9"/>
  <c r="K6"/>
  <c r="D6"/>
  <c r="L24" i="8"/>
  <c r="K24"/>
  <c r="D24"/>
  <c r="L21"/>
  <c r="K21"/>
  <c r="D21"/>
  <c r="L20"/>
  <c r="K20"/>
  <c r="D20"/>
  <c r="L19"/>
  <c r="K19"/>
  <c r="D19"/>
  <c r="L16"/>
  <c r="K16"/>
  <c r="D16"/>
  <c r="L15"/>
  <c r="K15"/>
  <c r="D15"/>
  <c r="L12"/>
  <c r="K12"/>
  <c r="D12"/>
  <c r="L11"/>
  <c r="K11"/>
  <c r="D11"/>
  <c r="L10"/>
  <c r="K10"/>
  <c r="D10"/>
  <c r="L9"/>
  <c r="K9"/>
  <c r="D9"/>
  <c r="L6"/>
  <c r="K6"/>
  <c r="D6"/>
  <c r="J7" i="7"/>
  <c r="I7"/>
  <c r="D7"/>
  <c r="J6"/>
  <c r="I6"/>
  <c r="D6"/>
  <c r="J9" i="6"/>
  <c r="I9"/>
  <c r="D9"/>
  <c r="J6"/>
  <c r="I6"/>
  <c r="D6"/>
  <c r="T27" i="5"/>
  <c r="S27"/>
  <c r="D27"/>
  <c r="T24"/>
  <c r="S24"/>
  <c r="D24"/>
  <c r="T23"/>
  <c r="S23"/>
  <c r="D23"/>
  <c r="T20"/>
  <c r="S20"/>
  <c r="D20"/>
  <c r="T19"/>
  <c r="S19"/>
  <c r="D19"/>
  <c r="T18"/>
  <c r="S18"/>
  <c r="D18"/>
  <c r="T15"/>
  <c r="S15"/>
  <c r="D15"/>
  <c r="T12"/>
  <c r="S12"/>
  <c r="D12"/>
  <c r="T9"/>
  <c r="S9"/>
  <c r="D9"/>
  <c r="T6"/>
  <c r="S6"/>
  <c r="D6"/>
</calcChain>
</file>

<file path=xl/sharedStrings.xml><?xml version="1.0" encoding="utf-8"?>
<sst xmlns="http://schemas.openxmlformats.org/spreadsheetml/2006/main" count="1300" uniqueCount="353">
  <si>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</si>
  <si>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</si>
  <si>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</si>
  <si>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</si>
  <si>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</si>
  <si>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</si>
  <si>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</si>
  <si>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</si>
  <si>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</si>
  <si>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</si>
  <si>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</si>
  <si>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</si>
  <si>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Новогодний турнир КУБОК БЕЛГОРОДА IPC
IPC Пауэрлифтинг без экипировки
Белгород/Белгородская область 14 декабря 2024 г.</t>
  </si>
  <si>
    <t>Gloss</t>
  </si>
  <si>
    <t>Приседание</t>
  </si>
  <si>
    <t>Жим лёжа</t>
  </si>
  <si>
    <t>Становая тяга</t>
  </si>
  <si>
    <t>ВЕСОВАЯ КАТЕГОРИЯ   48</t>
  </si>
  <si>
    <t xml:space="preserve">Сафрыгина Елена </t>
  </si>
  <si>
    <t xml:space="preserve">1. Сафрыгина Елена </t>
  </si>
  <si>
    <t>Девушки 16 - 17 (30.05.2007)/17</t>
  </si>
  <si>
    <t>48,00</t>
  </si>
  <si>
    <t xml:space="preserve">Муромец </t>
  </si>
  <si>
    <t xml:space="preserve">Белгород/Белгородская область </t>
  </si>
  <si>
    <t>50,0</t>
  </si>
  <si>
    <t>55,0</t>
  </si>
  <si>
    <t>60,0</t>
  </si>
  <si>
    <t>25,0</t>
  </si>
  <si>
    <t>30,0</t>
  </si>
  <si>
    <t>32,5</t>
  </si>
  <si>
    <t>65,0</t>
  </si>
  <si>
    <t>67,5</t>
  </si>
  <si>
    <t xml:space="preserve"> </t>
  </si>
  <si>
    <t>ВЕСОВАЯ КАТЕГОРИЯ   56</t>
  </si>
  <si>
    <t xml:space="preserve">Шеховцова Карина </t>
  </si>
  <si>
    <t xml:space="preserve">1. Шеховцова Карина </t>
  </si>
  <si>
    <t>Открытая (02.06.1993)/31</t>
  </si>
  <si>
    <t>55,90</t>
  </si>
  <si>
    <t>70,0</t>
  </si>
  <si>
    <t>75,0</t>
  </si>
  <si>
    <t>80,0</t>
  </si>
  <si>
    <t>40,0</t>
  </si>
  <si>
    <t>45,0</t>
  </si>
  <si>
    <t>90,0</t>
  </si>
  <si>
    <t>100,0</t>
  </si>
  <si>
    <t>102,5</t>
  </si>
  <si>
    <t>ВЕСОВАЯ КАТЕГОРИЯ   52</t>
  </si>
  <si>
    <t xml:space="preserve">Чирков Сергей </t>
  </si>
  <si>
    <t xml:space="preserve">1. Чирков Сергей </t>
  </si>
  <si>
    <t>Юноши 13 - 15 (16.08.2011)/13</t>
  </si>
  <si>
    <t>51,50</t>
  </si>
  <si>
    <t>62,5</t>
  </si>
  <si>
    <t>37,5</t>
  </si>
  <si>
    <t>42,5</t>
  </si>
  <si>
    <t>ВЕСОВАЯ КАТЕГОРИЯ   75</t>
  </si>
  <si>
    <t xml:space="preserve">Брайчевский Егор </t>
  </si>
  <si>
    <t xml:space="preserve">1. Брайчевский Егор </t>
  </si>
  <si>
    <t>Юноши 16 - 17 (25.11.2007)/17</t>
  </si>
  <si>
    <t>71,00</t>
  </si>
  <si>
    <t>115,0</t>
  </si>
  <si>
    <t>125,0</t>
  </si>
  <si>
    <t>132,5</t>
  </si>
  <si>
    <t>82,5</t>
  </si>
  <si>
    <t>135,0</t>
  </si>
  <si>
    <t>145,0</t>
  </si>
  <si>
    <t>150,0</t>
  </si>
  <si>
    <t>ВЕСОВАЯ КАТЕГОРИЯ   82.5</t>
  </si>
  <si>
    <t xml:space="preserve">Росторгуев Илья </t>
  </si>
  <si>
    <t xml:space="preserve">1. Росторгуев Илья </t>
  </si>
  <si>
    <t>Юноши 16 - 17 (23.07.2007)/17</t>
  </si>
  <si>
    <t>81,60</t>
  </si>
  <si>
    <t xml:space="preserve">лично </t>
  </si>
  <si>
    <t>160,0</t>
  </si>
  <si>
    <t>170,0</t>
  </si>
  <si>
    <t>105,0</t>
  </si>
  <si>
    <t>112,5</t>
  </si>
  <si>
    <t>117,5</t>
  </si>
  <si>
    <t xml:space="preserve">Рабаев Амир </t>
  </si>
  <si>
    <t xml:space="preserve">1. Рабаев Амир </t>
  </si>
  <si>
    <t>Открытая (25.06.1998)/26</t>
  </si>
  <si>
    <t>78,90</t>
  </si>
  <si>
    <t xml:space="preserve">Элиста/Калмыкия </t>
  </si>
  <si>
    <t>200,0</t>
  </si>
  <si>
    <t>210,0</t>
  </si>
  <si>
    <t>220,0</t>
  </si>
  <si>
    <t>155,0</t>
  </si>
  <si>
    <t>225,0</t>
  </si>
  <si>
    <t>235,0</t>
  </si>
  <si>
    <t xml:space="preserve">Крюков Михаил </t>
  </si>
  <si>
    <t xml:space="preserve">1. Крюков Михаил </t>
  </si>
  <si>
    <t>Ветераны 40 - 44 (05.10.1981)/43</t>
  </si>
  <si>
    <t>81,10</t>
  </si>
  <si>
    <t>130,0</t>
  </si>
  <si>
    <t>140,0</t>
  </si>
  <si>
    <t>120,0</t>
  </si>
  <si>
    <t>175,0</t>
  </si>
  <si>
    <t>ВЕСОВАЯ КАТЕГОРИЯ   100</t>
  </si>
  <si>
    <t xml:space="preserve">Ковалев Николай </t>
  </si>
  <si>
    <t xml:space="preserve">1. Ковалев Николай </t>
  </si>
  <si>
    <t>Открытая (18.07.1990)/34</t>
  </si>
  <si>
    <t>99,60</t>
  </si>
  <si>
    <t>165,0</t>
  </si>
  <si>
    <t>180,0</t>
  </si>
  <si>
    <t xml:space="preserve">Шевцов Денис </t>
  </si>
  <si>
    <t xml:space="preserve">2. Шевцов Денис </t>
  </si>
  <si>
    <t>Открытая (08.01.1986)/38</t>
  </si>
  <si>
    <t>95,50</t>
  </si>
  <si>
    <t>ВЕСОВАЯ КАТЕГОРИЯ   125</t>
  </si>
  <si>
    <t xml:space="preserve">Неустроев Евгений </t>
  </si>
  <si>
    <t xml:space="preserve">1. Неустроев Евгений </t>
  </si>
  <si>
    <t>Открытая (06.02.1985)/39</t>
  </si>
  <si>
    <t>112,80</t>
  </si>
  <si>
    <t>195,0</t>
  </si>
  <si>
    <t>95,0</t>
  </si>
  <si>
    <t>110,0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</si>
  <si>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</si>
  <si>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</si>
  <si>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</si>
  <si>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</si>
  <si>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</si>
  <si>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</si>
  <si>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</si>
  <si>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</si>
  <si>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</si>
  <si>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</si>
  <si>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</si>
  <si>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</si>
  <si>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</si>
  <si>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 xml:space="preserve">Юноши 16 - 17 </t>
  </si>
  <si>
    <t>48</t>
  </si>
  <si>
    <t xml:space="preserve">Открытая </t>
  </si>
  <si>
    <t>56</t>
  </si>
  <si>
    <t xml:space="preserve">Мужчины </t>
  </si>
  <si>
    <t xml:space="preserve">Юноши </t>
  </si>
  <si>
    <t>82.5</t>
  </si>
  <si>
    <t>75</t>
  </si>
  <si>
    <t xml:space="preserve">Юноши 13 - 15 </t>
  </si>
  <si>
    <t>52</t>
  </si>
  <si>
    <t>100</t>
  </si>
  <si>
    <t>125</t>
  </si>
  <si>
    <t xml:space="preserve">Ветераны </t>
  </si>
  <si>
    <t xml:space="preserve">Ветераны 40 - 44 </t>
  </si>
  <si>
    <t>Новогодний турнир КУБОК БЕЛГОРОДА IPC
IPC Народный жим
Белгород/Белгородская область 14 декабря 2024 г.</t>
  </si>
  <si>
    <t>Народный жим</t>
  </si>
  <si>
    <t xml:space="preserve">Ушаков Алексей </t>
  </si>
  <si>
    <t xml:space="preserve">1. Ушаков Алексей </t>
  </si>
  <si>
    <t>Ветераны 40 - 44 (21.03.1982)/42</t>
  </si>
  <si>
    <t>74,70</t>
  </si>
  <si>
    <t xml:space="preserve">Sun Gym </t>
  </si>
  <si>
    <t>ВЕСОВАЯ КАТЕГОРИЯ   110</t>
  </si>
  <si>
    <t xml:space="preserve">Комиссаров Владислав </t>
  </si>
  <si>
    <t xml:space="preserve">1. Комиссаров Владислав </t>
  </si>
  <si>
    <t>Открытая (05.08.1992)/32</t>
  </si>
  <si>
    <t>103,90</t>
  </si>
  <si>
    <t>23,0</t>
  </si>
  <si>
    <t xml:space="preserve">Результат </t>
  </si>
  <si>
    <t>110</t>
  </si>
  <si>
    <t>Результат</t>
  </si>
  <si>
    <t>Новогодний турнир КУБОК БЕЛГОРОДА IPC
IPC Народный жим (1/2 веса)
Белгород/Белгородская область 14 декабря 2024 г.</t>
  </si>
  <si>
    <t>ВЕСОВАЯ КАТЕГОРИЯ   60</t>
  </si>
  <si>
    <t xml:space="preserve">Бережницкая Олеся </t>
  </si>
  <si>
    <t xml:space="preserve">1. Бережницкая Олеся </t>
  </si>
  <si>
    <t>Девушки 16 - 17 (02.08.2007)/17</t>
  </si>
  <si>
    <t>60,00</t>
  </si>
  <si>
    <t xml:space="preserve">свой зал </t>
  </si>
  <si>
    <t xml:space="preserve">Уголькова Ирина </t>
  </si>
  <si>
    <t xml:space="preserve">1. Уголькова Ирина </t>
  </si>
  <si>
    <t>Открытая (29.04.1988)/36</t>
  </si>
  <si>
    <t>59,20</t>
  </si>
  <si>
    <t>22,0</t>
  </si>
  <si>
    <t xml:space="preserve">алиев </t>
  </si>
  <si>
    <t>60</t>
  </si>
  <si>
    <t>Новогодний турнир КУБОК БЕЛГОРОДА IPC
IPC Жим лежа без экипировки
Белгород/Белгородская область 14 декабря 2024 г.</t>
  </si>
  <si>
    <t>ВЕСОВАЯ КАТЕГОРИЯ   67.5</t>
  </si>
  <si>
    <t xml:space="preserve">Захарченко Анна </t>
  </si>
  <si>
    <t xml:space="preserve">1. Захарченко Анна </t>
  </si>
  <si>
    <t>Открытая (20.12.1991)/32</t>
  </si>
  <si>
    <t>65,90</t>
  </si>
  <si>
    <t xml:space="preserve">AS Fitness </t>
  </si>
  <si>
    <t xml:space="preserve">Потанин Михаил </t>
  </si>
  <si>
    <t xml:space="preserve">1. Потанин Михаил </t>
  </si>
  <si>
    <t>Юниоры 20 - 23 (01.04.2002)/22</t>
  </si>
  <si>
    <t>82,30</t>
  </si>
  <si>
    <t xml:space="preserve">Алиев Магомед </t>
  </si>
  <si>
    <t xml:space="preserve">1. Алиев Магомед </t>
  </si>
  <si>
    <t>Открытая (30.08.1999)/25</t>
  </si>
  <si>
    <t xml:space="preserve">Геворкян Андрей </t>
  </si>
  <si>
    <t xml:space="preserve">2. Геворкян Андрей </t>
  </si>
  <si>
    <t>Открытая (06.08.1993)/31</t>
  </si>
  <si>
    <t xml:space="preserve">Бабич Александр </t>
  </si>
  <si>
    <t xml:space="preserve">1. Бабич Александр </t>
  </si>
  <si>
    <t>Ветераны 45 - 49 (01.03.1979)/45</t>
  </si>
  <si>
    <t>80,70</t>
  </si>
  <si>
    <t>ВЕСОВАЯ КАТЕГОРИЯ   90</t>
  </si>
  <si>
    <t xml:space="preserve">Антипов Максим </t>
  </si>
  <si>
    <t xml:space="preserve">1. Антипов Максим </t>
  </si>
  <si>
    <t>Открытая (20.09.1990)/34</t>
  </si>
  <si>
    <t>83,80</t>
  </si>
  <si>
    <t xml:space="preserve">Адонин Владимир </t>
  </si>
  <si>
    <t xml:space="preserve">2. Адонин Владимир </t>
  </si>
  <si>
    <t>Открытая (13.06.2000)/24</t>
  </si>
  <si>
    <t>87,50</t>
  </si>
  <si>
    <t xml:space="preserve">Конев Андрей </t>
  </si>
  <si>
    <t xml:space="preserve">1. Конев Андрей </t>
  </si>
  <si>
    <t>Открытая (01.06.1998)/26</t>
  </si>
  <si>
    <t>99,90</t>
  </si>
  <si>
    <t xml:space="preserve">Целуйко Сергей </t>
  </si>
  <si>
    <t xml:space="preserve">2. Целуйко Сергей </t>
  </si>
  <si>
    <t>Открытая (01.04.1994)/30</t>
  </si>
  <si>
    <t>90,50</t>
  </si>
  <si>
    <t>142,5</t>
  </si>
  <si>
    <t xml:space="preserve">Анас Шабат </t>
  </si>
  <si>
    <t xml:space="preserve">3. Анас Шабат </t>
  </si>
  <si>
    <t>Открытая (11.12.1996)/28</t>
  </si>
  <si>
    <t>97,40</t>
  </si>
  <si>
    <t xml:space="preserve">Гирин Кирилл </t>
  </si>
  <si>
    <t xml:space="preserve">1. Гирин Кирилл </t>
  </si>
  <si>
    <t>Открытая (28.04.1986)/38</t>
  </si>
  <si>
    <t>111,70</t>
  </si>
  <si>
    <t xml:space="preserve">Строитель/Белгородская область </t>
  </si>
  <si>
    <t>67.5</t>
  </si>
  <si>
    <t xml:space="preserve">Юниоры </t>
  </si>
  <si>
    <t xml:space="preserve">Юниоры 20 - 23 </t>
  </si>
  <si>
    <t>90</t>
  </si>
  <si>
    <t xml:space="preserve">Ветераны 45 - 49 </t>
  </si>
  <si>
    <t>Новогодний турнир КУБОК БЕЛГОРОДА IPC
IPC Жим лежа в однослойной экипировке
Белгород/Белгородская область 14 декабря 2024 г.</t>
  </si>
  <si>
    <t xml:space="preserve">Бычков Максим </t>
  </si>
  <si>
    <t xml:space="preserve">1. Бычков Максим </t>
  </si>
  <si>
    <t>Юноши 18 - 19 (28.07.2006)/18</t>
  </si>
  <si>
    <t>89,40</t>
  </si>
  <si>
    <t xml:space="preserve">Юноши 18 - 19 </t>
  </si>
  <si>
    <t>Новогодний турнир КУБОК БЕЛГОРОДА IPC
IPC Жим лежа в многоcлойной софт-экипировке
Белгород/Белгородская область 14 декабря 2024 г.</t>
  </si>
  <si>
    <t xml:space="preserve">Громов Сергей </t>
  </si>
  <si>
    <t xml:space="preserve">1. Громов Сергей </t>
  </si>
  <si>
    <t>Открытая (02.09.1966)/58</t>
  </si>
  <si>
    <t>250,0</t>
  </si>
  <si>
    <t xml:space="preserve">Самост </t>
  </si>
  <si>
    <t>Новогодний турнир КУБОК БЕЛГОРОДА IPC
IPC Становая тяга без экипировки
Белгород/Белгородская область 14 декабря 2024 г.</t>
  </si>
  <si>
    <t xml:space="preserve">Солодовников Данил </t>
  </si>
  <si>
    <t xml:space="preserve">1. Солодовников Данил </t>
  </si>
  <si>
    <t>Юниоры 20 - 23 (14.06.2001)/23</t>
  </si>
  <si>
    <t>75,00</t>
  </si>
  <si>
    <t xml:space="preserve">Кудряшов Николай </t>
  </si>
  <si>
    <t xml:space="preserve">1. Кудряшов Николай </t>
  </si>
  <si>
    <t>Открытая (01.09.1992)/32</t>
  </si>
  <si>
    <t>72,60</t>
  </si>
  <si>
    <t xml:space="preserve">Астрахань/Астраханская область </t>
  </si>
  <si>
    <t>185,0</t>
  </si>
  <si>
    <t>82,50</t>
  </si>
  <si>
    <t xml:space="preserve">1. Геворкян Андрей </t>
  </si>
  <si>
    <t xml:space="preserve">1. Адонин Владимир </t>
  </si>
  <si>
    <t xml:space="preserve">Рязанов Данил </t>
  </si>
  <si>
    <t xml:space="preserve">1. Рязанов Данил </t>
  </si>
  <si>
    <t>Юноши 18 - 19 (15.02.2005)/19</t>
  </si>
  <si>
    <t>92,50</t>
  </si>
  <si>
    <t xml:space="preserve">Земляной Team </t>
  </si>
  <si>
    <t xml:space="preserve">Днистренко Никита </t>
  </si>
  <si>
    <t xml:space="preserve">1. Днистренко Никита </t>
  </si>
  <si>
    <t>Открытая (21.08.1987)/37</t>
  </si>
  <si>
    <t>100,50</t>
  </si>
  <si>
    <t>215,0</t>
  </si>
  <si>
    <t>230,0</t>
  </si>
  <si>
    <t>Новогодний турнир КУБОК БЕЛГОРОДА IPC
IPC Строгий подъем на бицепс
Белгород/Белгородская область 14 декабря 2024 г.</t>
  </si>
  <si>
    <t>Подъем на бицепс</t>
  </si>
  <si>
    <t xml:space="preserve">Ермоленко Надежда </t>
  </si>
  <si>
    <t xml:space="preserve">1. Ермоленко Надежда </t>
  </si>
  <si>
    <t>Юниорки 20 - 23 (12.10.2004)/20</t>
  </si>
  <si>
    <t>59,90</t>
  </si>
  <si>
    <t>35,0</t>
  </si>
  <si>
    <t>27,5</t>
  </si>
  <si>
    <t xml:space="preserve">Паюк Юлия </t>
  </si>
  <si>
    <t xml:space="preserve">1. Паюк Юлия </t>
  </si>
  <si>
    <t>Открытая (15.03.1986)/38</t>
  </si>
  <si>
    <t>80,50</t>
  </si>
  <si>
    <t>15,0</t>
  </si>
  <si>
    <t>20,0</t>
  </si>
  <si>
    <t>22,5</t>
  </si>
  <si>
    <t>ВЕСОВАЯ КАТЕГОРИЯ   90+</t>
  </si>
  <si>
    <t xml:space="preserve">Болотецкая Ирина </t>
  </si>
  <si>
    <t xml:space="preserve">1. Болотецкая Ирина </t>
  </si>
  <si>
    <t>Открытая (06.01.1988)/36</t>
  </si>
  <si>
    <t>98,80</t>
  </si>
  <si>
    <t xml:space="preserve">Вологин Владислав </t>
  </si>
  <si>
    <t xml:space="preserve">1. Вологин Владислав </t>
  </si>
  <si>
    <t>Юноши 13 - 15 (26.06.2009)/15</t>
  </si>
  <si>
    <t>67,50</t>
  </si>
  <si>
    <t xml:space="preserve">Киселев Юрий </t>
  </si>
  <si>
    <t xml:space="preserve">1. Киселев Юрий </t>
  </si>
  <si>
    <t>Открытая (06.09.1993)/31</t>
  </si>
  <si>
    <t>74,40</t>
  </si>
  <si>
    <t>57,5</t>
  </si>
  <si>
    <t xml:space="preserve">Власов Иван </t>
  </si>
  <si>
    <t xml:space="preserve">1. Власов Иван </t>
  </si>
  <si>
    <t>Юноши 18 - 19 (31.01.2005)/19</t>
  </si>
  <si>
    <t>78,00</t>
  </si>
  <si>
    <t>52,5</t>
  </si>
  <si>
    <t xml:space="preserve">Чеботко Артём </t>
  </si>
  <si>
    <t xml:space="preserve">1. Чеботко Артём </t>
  </si>
  <si>
    <t>Открытая (24.06.1994)/30</t>
  </si>
  <si>
    <t>86,70</t>
  </si>
  <si>
    <t xml:space="preserve">Воронеж/Воронежская область </t>
  </si>
  <si>
    <t xml:space="preserve">Попов Андрей </t>
  </si>
  <si>
    <t xml:space="preserve">2. Попов Андрей </t>
  </si>
  <si>
    <t>Открытая (18.04.1987)/37</t>
  </si>
  <si>
    <t>87,00</t>
  </si>
  <si>
    <t xml:space="preserve">3. Адонин Владимир </t>
  </si>
  <si>
    <t xml:space="preserve">-. Рязанов Александр </t>
  </si>
  <si>
    <t>Ветераны 40 - 44 (01.08.1984)/40</t>
  </si>
  <si>
    <t>85,10</t>
  </si>
  <si>
    <t xml:space="preserve">Сапожников Николай </t>
  </si>
  <si>
    <t xml:space="preserve">3. Сапожников Николай </t>
  </si>
  <si>
    <t>Открытая (01.09.1999)/25</t>
  </si>
  <si>
    <t>100,00</t>
  </si>
  <si>
    <t xml:space="preserve">Сорокин Александр </t>
  </si>
  <si>
    <t xml:space="preserve">1. Сорокин Александр </t>
  </si>
  <si>
    <t>Ветераны 45 - 49 (01.07.1977)/47</t>
  </si>
  <si>
    <t>97,00</t>
  </si>
  <si>
    <t xml:space="preserve">Кодинцев Александр </t>
  </si>
  <si>
    <t xml:space="preserve">1. Кодинцев Александр </t>
  </si>
  <si>
    <t>Открытая (08.05.1990)/34</t>
  </si>
  <si>
    <t>109,00</t>
  </si>
  <si>
    <t>47,5</t>
  </si>
  <si>
    <t xml:space="preserve">-. Литовченко Александр </t>
  </si>
  <si>
    <t>Открытая (26.06.1986)/38</t>
  </si>
  <si>
    <t>106,40</t>
  </si>
  <si>
    <t xml:space="preserve">Юниорки </t>
  </si>
  <si>
    <t>90+</t>
  </si>
  <si>
    <t>Новогодний турнир КУБОК БЕЛГОРОДА IPC
IPC Приседания без экипировки
Белгород/Белгородская область 14 декабря 2024 г.</t>
  </si>
  <si>
    <t>212,5</t>
  </si>
  <si>
    <t>Новогодний турнир КУБОК БЕЛГОРОДА IPC
IPC Ягодичный мост
Белгород/Белгородская область 14 декабря 2024 г.</t>
  </si>
  <si>
    <t>Ягодичный мост</t>
  </si>
  <si>
    <t xml:space="preserve">Фролова Виктория </t>
  </si>
  <si>
    <t xml:space="preserve">1. Фролова Виктория </t>
  </si>
  <si>
    <t>Юниорки 20 - 23 (08.05.2001)/23</t>
  </si>
  <si>
    <t xml:space="preserve">Терновая Анна </t>
  </si>
  <si>
    <t xml:space="preserve">1. Терновая Анна </t>
  </si>
  <si>
    <t>Ветераны 40 - 44 (30.12.1983)/40</t>
  </si>
  <si>
    <t>56,20</t>
  </si>
  <si>
    <t>190,0</t>
  </si>
  <si>
    <t xml:space="preserve">Голубёвская Ирина </t>
  </si>
  <si>
    <t xml:space="preserve">2. Голубёвская Ирина </t>
  </si>
  <si>
    <t>Открытая (27.12.1993)/30</t>
  </si>
  <si>
    <t>64,20</t>
  </si>
  <si>
    <t>Новогодний турнир КУБОК БЕЛГОРОДА IPC
IPС Силовое двоеборье без экипировки
Белгород/Белгородская область 14 декабря 2024 г.</t>
  </si>
  <si>
    <t xml:space="preserve">Половников Владимир </t>
  </si>
  <si>
    <t xml:space="preserve">1. Половников Владимир </t>
  </si>
  <si>
    <t>Юноши 16 - 17 (19.07.2007)/17</t>
  </si>
  <si>
    <t>94,40</t>
  </si>
  <si>
    <t>205,0</t>
  </si>
  <si>
    <t xml:space="preserve">Голубенко Александр </t>
  </si>
  <si>
    <t xml:space="preserve">1. Голубенко Александр </t>
  </si>
  <si>
    <t>Юноши 18 - 19 (22.01.2006)/18</t>
  </si>
  <si>
    <t>94,30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</si>
</sst>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"/>
  <sheetViews>
    <sheetView workbookViewId="0">
      <selection activeCell="A3" sqref="A3:A4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8" bestFit="1" customWidth="1"/>
    <col min="24" max="24" width="8.5703125" style="9" bestFit="1" customWidth="1"/>
    <col min="25" max="25" width="23" style="4" bestFit="1" customWidth="1"/>
    <col min="26" max="16384" width="9.140625" style="3"/>
  </cols>
  <sheetData>
    <row r="1" spans="1:25" s="2" customFormat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 s="2" customFormat="1" ht="66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1" customFormat="1" ht="12.75" customHeight="1">
      <c r="A3" s="20" t="s">
        <v>0</v>
      </c>
      <c r="B3" s="22" t="s">
        <v>7</v>
      </c>
      <c r="C3" s="22" t="s">
        <v>11</v>
      </c>
      <c r="D3" s="11" t="s">
        <v>6</v>
      </c>
      <c r="E3" s="19" t="s">
        <v>4</v>
      </c>
      <c r="F3" s="19" t="s">
        <v>8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1" t="s">
        <v>1</v>
      </c>
      <c r="X3" s="11" t="s">
        <v>3</v>
      </c>
      <c r="Y3" s="24" t="s">
        <v>2</v>
      </c>
    </row>
    <row r="4" spans="1:25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0" t="s">
        <v>9</v>
      </c>
      <c r="T4" s="10" t="s">
        <v>10</v>
      </c>
      <c r="U4" s="10" t="s">
        <v>9</v>
      </c>
      <c r="V4" s="10" t="s">
        <v>10</v>
      </c>
      <c r="W4" s="12"/>
      <c r="X4" s="12"/>
      <c r="Y4" s="25"/>
    </row>
    <row r="5" spans="1:25">
      <c r="G5" s="6"/>
    </row>
  </sheetData>
  <mergeCells count="15">
    <mergeCell ref="S3:T3"/>
    <mergeCell ref="U3:V3"/>
    <mergeCell ref="W3:W4"/>
    <mergeCell ref="X3:X4"/>
    <mergeCell ref="Y3:Y4"/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8.5703125" style="9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26" t="s">
        <v>158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143</v>
      </c>
      <c r="H3" s="19"/>
      <c r="I3" s="11" t="s">
        <v>157</v>
      </c>
      <c r="J3" s="11" t="s">
        <v>3</v>
      </c>
      <c r="K3" s="24" t="s">
        <v>2</v>
      </c>
    </row>
    <row r="4" spans="1:11" s="1" customFormat="1" ht="21" customHeight="1" thickBot="1">
      <c r="A4" s="21"/>
      <c r="B4" s="23"/>
      <c r="C4" s="23"/>
      <c r="D4" s="12"/>
      <c r="E4" s="23"/>
      <c r="F4" s="23"/>
      <c r="G4" s="10" t="s">
        <v>9</v>
      </c>
      <c r="H4" s="10" t="s">
        <v>10</v>
      </c>
      <c r="I4" s="12"/>
      <c r="J4" s="12"/>
      <c r="K4" s="25"/>
    </row>
    <row r="5" spans="1:11" ht="15">
      <c r="A5" s="27" t="s">
        <v>159</v>
      </c>
      <c r="B5" s="28"/>
      <c r="C5" s="28"/>
      <c r="D5" s="28"/>
      <c r="E5" s="28"/>
      <c r="F5" s="28"/>
      <c r="G5" s="28"/>
      <c r="H5" s="28"/>
    </row>
    <row r="6" spans="1:11">
      <c r="A6" s="37" t="s">
        <v>161</v>
      </c>
      <c r="B6" s="37" t="s">
        <v>162</v>
      </c>
      <c r="C6" s="37" t="s">
        <v>163</v>
      </c>
      <c r="D6" s="38" t="str">
        <f>"0,9876"</f>
        <v>0,9876</v>
      </c>
      <c r="E6" s="37" t="s">
        <v>164</v>
      </c>
      <c r="F6" s="37" t="s">
        <v>23</v>
      </c>
      <c r="G6" s="39" t="s">
        <v>28</v>
      </c>
      <c r="H6" s="39" t="s">
        <v>28</v>
      </c>
      <c r="I6" s="41" t="str">
        <f>"900,0"</f>
        <v>900,0</v>
      </c>
      <c r="J6" s="42" t="str">
        <f>"888,8400"</f>
        <v>888,8400</v>
      </c>
      <c r="K6" s="37" t="s">
        <v>32</v>
      </c>
    </row>
    <row r="7" spans="1:11">
      <c r="A7" s="49" t="s">
        <v>166</v>
      </c>
      <c r="B7" s="49" t="s">
        <v>167</v>
      </c>
      <c r="C7" s="49" t="s">
        <v>168</v>
      </c>
      <c r="D7" s="50" t="str">
        <f>"0,9984"</f>
        <v>0,9984</v>
      </c>
      <c r="E7" s="49" t="s">
        <v>164</v>
      </c>
      <c r="F7" s="49" t="s">
        <v>23</v>
      </c>
      <c r="G7" s="51" t="s">
        <v>28</v>
      </c>
      <c r="H7" s="51" t="s">
        <v>169</v>
      </c>
      <c r="I7" s="53" t="str">
        <f>"660,0"</f>
        <v>660,0</v>
      </c>
      <c r="J7" s="54" t="str">
        <f>"658,9110"</f>
        <v>658,9110</v>
      </c>
      <c r="K7" s="49" t="s">
        <v>170</v>
      </c>
    </row>
    <row r="9" spans="1:11" ht="15">
      <c r="E9" s="55" t="s">
        <v>115</v>
      </c>
    </row>
    <row r="10" spans="1:11" ht="15">
      <c r="E10" s="55" t="s">
        <v>116</v>
      </c>
    </row>
    <row r="11" spans="1:11" ht="15">
      <c r="E11" s="55" t="s">
        <v>117</v>
      </c>
    </row>
    <row r="12" spans="1:11" ht="15">
      <c r="E12" s="55" t="s">
        <v>118</v>
      </c>
    </row>
    <row r="13" spans="1:11" ht="15">
      <c r="E13" s="55" t="s">
        <v>118</v>
      </c>
    </row>
    <row r="14" spans="1:11" ht="15">
      <c r="E14" s="55" t="s">
        <v>119</v>
      </c>
    </row>
    <row r="15" spans="1:11" ht="15">
      <c r="E15" s="55"/>
    </row>
    <row r="17" spans="1:5" ht="18">
      <c r="A17" s="56" t="s">
        <v>120</v>
      </c>
      <c r="B17" s="56"/>
    </row>
    <row r="18" spans="1:5" ht="15">
      <c r="A18" s="57" t="s">
        <v>121</v>
      </c>
      <c r="B18" s="57"/>
    </row>
    <row r="19" spans="1:5" ht="14.25">
      <c r="A19" s="59"/>
      <c r="B19" s="60" t="s">
        <v>122</v>
      </c>
    </row>
    <row r="20" spans="1:5" ht="15">
      <c r="A20" s="61" t="s">
        <v>123</v>
      </c>
      <c r="B20" s="61" t="s">
        <v>124</v>
      </c>
      <c r="C20" s="61" t="s">
        <v>125</v>
      </c>
      <c r="D20" s="62" t="s">
        <v>155</v>
      </c>
      <c r="E20" s="61" t="s">
        <v>127</v>
      </c>
    </row>
    <row r="21" spans="1:5">
      <c r="A21" s="58" t="s">
        <v>160</v>
      </c>
      <c r="B21" s="4" t="s">
        <v>128</v>
      </c>
      <c r="C21" s="4" t="s">
        <v>171</v>
      </c>
      <c r="D21" s="63">
        <v>900</v>
      </c>
      <c r="E21" s="64">
        <v>888.84002566337597</v>
      </c>
    </row>
    <row r="23" spans="1:5" ht="14.25">
      <c r="A23" s="59"/>
      <c r="B23" s="60" t="s">
        <v>130</v>
      </c>
    </row>
    <row r="24" spans="1:5" ht="15">
      <c r="A24" s="61" t="s">
        <v>123</v>
      </c>
      <c r="B24" s="61" t="s">
        <v>124</v>
      </c>
      <c r="C24" s="61" t="s">
        <v>125</v>
      </c>
      <c r="D24" s="62" t="s">
        <v>155</v>
      </c>
      <c r="E24" s="61" t="s">
        <v>127</v>
      </c>
    </row>
    <row r="25" spans="1:5">
      <c r="A25" s="58" t="s">
        <v>165</v>
      </c>
      <c r="B25" s="4" t="s">
        <v>130</v>
      </c>
      <c r="C25" s="4" t="s">
        <v>171</v>
      </c>
      <c r="D25" s="63">
        <v>660</v>
      </c>
      <c r="E25" s="64">
        <v>658.91101598739601</v>
      </c>
    </row>
  </sheetData>
  <mergeCells count="12"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9.5703125" style="9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26" t="s">
        <v>142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143</v>
      </c>
      <c r="H3" s="19"/>
      <c r="I3" s="11" t="s">
        <v>157</v>
      </c>
      <c r="J3" s="11" t="s">
        <v>3</v>
      </c>
      <c r="K3" s="24" t="s">
        <v>2</v>
      </c>
    </row>
    <row r="4" spans="1:11" s="1" customFormat="1" ht="21" customHeight="1" thickBot="1">
      <c r="A4" s="21"/>
      <c r="B4" s="23"/>
      <c r="C4" s="23"/>
      <c r="D4" s="12"/>
      <c r="E4" s="23"/>
      <c r="F4" s="23"/>
      <c r="G4" s="10" t="s">
        <v>9</v>
      </c>
      <c r="H4" s="10" t="s">
        <v>10</v>
      </c>
      <c r="I4" s="12"/>
      <c r="J4" s="12"/>
      <c r="K4" s="25"/>
    </row>
    <row r="5" spans="1:11" ht="15">
      <c r="A5" s="27" t="s">
        <v>54</v>
      </c>
      <c r="B5" s="28"/>
      <c r="C5" s="28"/>
      <c r="D5" s="28"/>
      <c r="E5" s="28"/>
      <c r="F5" s="28"/>
      <c r="G5" s="28"/>
      <c r="H5" s="28"/>
    </row>
    <row r="6" spans="1:11">
      <c r="A6" s="29" t="s">
        <v>145</v>
      </c>
      <c r="B6" s="29" t="s">
        <v>146</v>
      </c>
      <c r="C6" s="29" t="s">
        <v>147</v>
      </c>
      <c r="D6" s="30" t="str">
        <f>"0,6906"</f>
        <v>0,6906</v>
      </c>
      <c r="E6" s="29" t="s">
        <v>148</v>
      </c>
      <c r="F6" s="29" t="s">
        <v>23</v>
      </c>
      <c r="G6" s="31" t="s">
        <v>39</v>
      </c>
      <c r="H6" s="31" t="s">
        <v>27</v>
      </c>
      <c r="I6" s="33" t="str">
        <f>"1875,0"</f>
        <v>1875,0</v>
      </c>
      <c r="J6" s="34" t="str">
        <f>"1320,7725"</f>
        <v>1320,7725</v>
      </c>
      <c r="K6" s="29" t="s">
        <v>32</v>
      </c>
    </row>
    <row r="8" spans="1:11" ht="15">
      <c r="A8" s="35" t="s">
        <v>149</v>
      </c>
      <c r="B8" s="35"/>
      <c r="C8" s="35"/>
      <c r="D8" s="36"/>
      <c r="E8" s="35"/>
      <c r="F8" s="35"/>
      <c r="G8" s="35"/>
      <c r="H8" s="35"/>
    </row>
    <row r="9" spans="1:11">
      <c r="A9" s="29" t="s">
        <v>151</v>
      </c>
      <c r="B9" s="29" t="s">
        <v>152</v>
      </c>
      <c r="C9" s="29" t="s">
        <v>153</v>
      </c>
      <c r="D9" s="30" t="str">
        <f>"0,5727"</f>
        <v>0,5727</v>
      </c>
      <c r="E9" s="29" t="s">
        <v>148</v>
      </c>
      <c r="F9" s="29" t="s">
        <v>23</v>
      </c>
      <c r="G9" s="31" t="s">
        <v>74</v>
      </c>
      <c r="H9" s="31" t="s">
        <v>154</v>
      </c>
      <c r="I9" s="33" t="str">
        <f>"2415,0"</f>
        <v>2415,0</v>
      </c>
      <c r="J9" s="34" t="str">
        <f>"1383,1912"</f>
        <v>1383,1912</v>
      </c>
      <c r="K9" s="29" t="s">
        <v>32</v>
      </c>
    </row>
    <row r="11" spans="1:11" ht="15">
      <c r="E11" s="55" t="s">
        <v>115</v>
      </c>
    </row>
    <row r="12" spans="1:11" ht="15">
      <c r="E12" s="55" t="s">
        <v>116</v>
      </c>
    </row>
    <row r="13" spans="1:11" ht="15">
      <c r="E13" s="55" t="s">
        <v>117</v>
      </c>
    </row>
    <row r="14" spans="1:11" ht="15">
      <c r="E14" s="55" t="s">
        <v>118</v>
      </c>
    </row>
    <row r="15" spans="1:11" ht="15">
      <c r="E15" s="55" t="s">
        <v>118</v>
      </c>
    </row>
    <row r="16" spans="1:11" ht="15">
      <c r="E16" s="55" t="s">
        <v>119</v>
      </c>
    </row>
    <row r="17" spans="1:5" ht="15">
      <c r="E17" s="55"/>
    </row>
    <row r="19" spans="1:5" ht="18">
      <c r="A19" s="56" t="s">
        <v>120</v>
      </c>
      <c r="B19" s="56"/>
    </row>
    <row r="20" spans="1:5" ht="15">
      <c r="A20" s="57" t="s">
        <v>132</v>
      </c>
      <c r="B20" s="57"/>
    </row>
    <row r="21" spans="1:5" ht="14.25">
      <c r="A21" s="59"/>
      <c r="B21" s="60" t="s">
        <v>130</v>
      </c>
    </row>
    <row r="22" spans="1:5" ht="15">
      <c r="A22" s="61" t="s">
        <v>123</v>
      </c>
      <c r="B22" s="61" t="s">
        <v>124</v>
      </c>
      <c r="C22" s="61" t="s">
        <v>125</v>
      </c>
      <c r="D22" s="62" t="s">
        <v>155</v>
      </c>
      <c r="E22" s="61" t="s">
        <v>127</v>
      </c>
    </row>
    <row r="23" spans="1:5">
      <c r="A23" s="58" t="s">
        <v>150</v>
      </c>
      <c r="B23" s="4" t="s">
        <v>130</v>
      </c>
      <c r="C23" s="4" t="s">
        <v>156</v>
      </c>
      <c r="D23" s="63">
        <v>2415</v>
      </c>
      <c r="E23" s="64">
        <v>1383.1911832094199</v>
      </c>
    </row>
    <row r="25" spans="1:5" ht="14.25">
      <c r="A25" s="59"/>
      <c r="B25" s="60" t="s">
        <v>140</v>
      </c>
    </row>
    <row r="26" spans="1:5" ht="15">
      <c r="A26" s="61" t="s">
        <v>123</v>
      </c>
      <c r="B26" s="61" t="s">
        <v>124</v>
      </c>
      <c r="C26" s="61" t="s">
        <v>125</v>
      </c>
      <c r="D26" s="62" t="s">
        <v>155</v>
      </c>
      <c r="E26" s="61" t="s">
        <v>127</v>
      </c>
    </row>
    <row r="27" spans="1:5">
      <c r="A27" s="58" t="s">
        <v>144</v>
      </c>
      <c r="B27" s="4" t="s">
        <v>141</v>
      </c>
      <c r="C27" s="4" t="s">
        <v>135</v>
      </c>
      <c r="D27" s="63">
        <v>1875</v>
      </c>
      <c r="E27" s="64">
        <v>1320.7724578678601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64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8.4257812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26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</v>
      </c>
      <c r="H3" s="19"/>
      <c r="I3" s="19"/>
      <c r="J3" s="19"/>
      <c r="K3" s="19" t="s">
        <v>15</v>
      </c>
      <c r="L3" s="19"/>
      <c r="M3" s="19"/>
      <c r="N3" s="19"/>
      <c r="O3" s="19" t="s">
        <v>16</v>
      </c>
      <c r="P3" s="19"/>
      <c r="Q3" s="19"/>
      <c r="R3" s="19"/>
      <c r="S3" s="11" t="s">
        <v>1</v>
      </c>
      <c r="T3" s="11" t="s">
        <v>3</v>
      </c>
      <c r="U3" s="24" t="s">
        <v>2</v>
      </c>
    </row>
    <row r="4" spans="1:21" s="1" customFormat="1" ht="21" customHeight="1" thickBot="1">
      <c r="A4" s="21"/>
      <c r="B4" s="23"/>
      <c r="C4" s="23"/>
      <c r="D4" s="12"/>
      <c r="E4" s="23"/>
      <c r="F4" s="23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12"/>
      <c r="T4" s="12"/>
      <c r="U4" s="25"/>
    </row>
    <row r="5" spans="1:21" ht="15">
      <c r="A5" s="27" t="s">
        <v>17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>
      <c r="A6" s="29" t="s">
        <v>19</v>
      </c>
      <c r="B6" s="29" t="s">
        <v>20</v>
      </c>
      <c r="C6" s="29" t="s">
        <v>21</v>
      </c>
      <c r="D6" s="30" t="str">
        <f>"1,1790"</f>
        <v>1,1790</v>
      </c>
      <c r="E6" s="29" t="s">
        <v>22</v>
      </c>
      <c r="F6" s="29" t="s">
        <v>23</v>
      </c>
      <c r="G6" s="31" t="s">
        <v>24</v>
      </c>
      <c r="H6" s="31" t="s">
        <v>25</v>
      </c>
      <c r="I6" s="32" t="s">
        <v>26</v>
      </c>
      <c r="J6" s="32"/>
      <c r="K6" s="31" t="s">
        <v>27</v>
      </c>
      <c r="L6" s="31" t="s">
        <v>28</v>
      </c>
      <c r="M6" s="31" t="s">
        <v>29</v>
      </c>
      <c r="N6" s="32"/>
      <c r="O6" s="31" t="s">
        <v>26</v>
      </c>
      <c r="P6" s="31" t="s">
        <v>30</v>
      </c>
      <c r="Q6" s="32" t="s">
        <v>31</v>
      </c>
      <c r="R6" s="32"/>
      <c r="S6" s="33" t="str">
        <f>"152,5"</f>
        <v>152,5</v>
      </c>
      <c r="T6" s="34" t="str">
        <f>"179,7975"</f>
        <v>179,7975</v>
      </c>
      <c r="U6" s="29" t="s">
        <v>32</v>
      </c>
    </row>
    <row r="8" spans="1:21" ht="15">
      <c r="A8" s="35" t="s">
        <v>33</v>
      </c>
      <c r="B8" s="35"/>
      <c r="C8" s="35"/>
      <c r="D8" s="36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29" t="s">
        <v>35</v>
      </c>
      <c r="B9" s="29" t="s">
        <v>36</v>
      </c>
      <c r="C9" s="29" t="s">
        <v>37</v>
      </c>
      <c r="D9" s="30" t="str">
        <f>"1,0454"</f>
        <v>1,0454</v>
      </c>
      <c r="E9" s="29" t="s">
        <v>22</v>
      </c>
      <c r="F9" s="29" t="s">
        <v>23</v>
      </c>
      <c r="G9" s="31" t="s">
        <v>38</v>
      </c>
      <c r="H9" s="31" t="s">
        <v>39</v>
      </c>
      <c r="I9" s="31" t="s">
        <v>40</v>
      </c>
      <c r="J9" s="32"/>
      <c r="K9" s="31" t="s">
        <v>41</v>
      </c>
      <c r="L9" s="31" t="s">
        <v>42</v>
      </c>
      <c r="M9" s="32" t="s">
        <v>24</v>
      </c>
      <c r="N9" s="32"/>
      <c r="O9" s="31" t="s">
        <v>43</v>
      </c>
      <c r="P9" s="31" t="s">
        <v>44</v>
      </c>
      <c r="Q9" s="31" t="s">
        <v>45</v>
      </c>
      <c r="R9" s="32"/>
      <c r="S9" s="33" t="str">
        <f>"227,5"</f>
        <v>227,5</v>
      </c>
      <c r="T9" s="34" t="str">
        <f>"237,8285"</f>
        <v>237,8285</v>
      </c>
      <c r="U9" s="29" t="s">
        <v>32</v>
      </c>
    </row>
    <row r="11" spans="1:21" ht="15">
      <c r="A11" s="35" t="s">
        <v>46</v>
      </c>
      <c r="B11" s="35"/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29" t="s">
        <v>48</v>
      </c>
      <c r="B12" s="29" t="s">
        <v>49</v>
      </c>
      <c r="C12" s="29" t="s">
        <v>50</v>
      </c>
      <c r="D12" s="30" t="str">
        <f>"0,9768"</f>
        <v>0,9768</v>
      </c>
      <c r="E12" s="29" t="s">
        <v>22</v>
      </c>
      <c r="F12" s="29" t="s">
        <v>23</v>
      </c>
      <c r="G12" s="31" t="s">
        <v>42</v>
      </c>
      <c r="H12" s="31" t="s">
        <v>25</v>
      </c>
      <c r="I12" s="32" t="s">
        <v>51</v>
      </c>
      <c r="J12" s="32"/>
      <c r="K12" s="31" t="s">
        <v>52</v>
      </c>
      <c r="L12" s="32" t="s">
        <v>53</v>
      </c>
      <c r="M12" s="31" t="s">
        <v>53</v>
      </c>
      <c r="N12" s="32"/>
      <c r="O12" s="31" t="s">
        <v>25</v>
      </c>
      <c r="P12" s="31" t="s">
        <v>31</v>
      </c>
      <c r="Q12" s="31" t="s">
        <v>39</v>
      </c>
      <c r="R12" s="32"/>
      <c r="S12" s="33" t="str">
        <f>"172,5"</f>
        <v>172,5</v>
      </c>
      <c r="T12" s="34" t="str">
        <f>"168,4980"</f>
        <v>168,4980</v>
      </c>
      <c r="U12" s="29" t="s">
        <v>32</v>
      </c>
    </row>
    <row r="14" spans="1:21" ht="15">
      <c r="A14" s="35" t="s">
        <v>54</v>
      </c>
      <c r="B14" s="35"/>
      <c r="C14" s="35"/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29" t="s">
        <v>56</v>
      </c>
      <c r="B15" s="29" t="s">
        <v>57</v>
      </c>
      <c r="C15" s="29" t="s">
        <v>58</v>
      </c>
      <c r="D15" s="30" t="str">
        <f>"0,7181"</f>
        <v>0,7181</v>
      </c>
      <c r="E15" s="29" t="s">
        <v>22</v>
      </c>
      <c r="F15" s="29" t="s">
        <v>23</v>
      </c>
      <c r="G15" s="31" t="s">
        <v>59</v>
      </c>
      <c r="H15" s="31" t="s">
        <v>60</v>
      </c>
      <c r="I15" s="31" t="s">
        <v>61</v>
      </c>
      <c r="J15" s="32"/>
      <c r="K15" s="31" t="s">
        <v>38</v>
      </c>
      <c r="L15" s="31" t="s">
        <v>62</v>
      </c>
      <c r="M15" s="32" t="s">
        <v>43</v>
      </c>
      <c r="N15" s="32"/>
      <c r="O15" s="31" t="s">
        <v>63</v>
      </c>
      <c r="P15" s="31" t="s">
        <v>64</v>
      </c>
      <c r="Q15" s="31" t="s">
        <v>65</v>
      </c>
      <c r="R15" s="32"/>
      <c r="S15" s="33" t="str">
        <f>"365,0"</f>
        <v>365,0</v>
      </c>
      <c r="T15" s="34" t="str">
        <f>"262,0883"</f>
        <v>262,0883</v>
      </c>
      <c r="U15" s="29" t="s">
        <v>32</v>
      </c>
    </row>
    <row r="17" spans="1:21" ht="15">
      <c r="A17" s="35" t="s">
        <v>66</v>
      </c>
      <c r="B17" s="35"/>
      <c r="C17" s="35"/>
      <c r="D17" s="36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1">
      <c r="A18" s="37" t="s">
        <v>68</v>
      </c>
      <c r="B18" s="37" t="s">
        <v>69</v>
      </c>
      <c r="C18" s="37" t="s">
        <v>70</v>
      </c>
      <c r="D18" s="38" t="str">
        <f>"0,6492"</f>
        <v>0,6492</v>
      </c>
      <c r="E18" s="37" t="s">
        <v>71</v>
      </c>
      <c r="F18" s="37" t="s">
        <v>23</v>
      </c>
      <c r="G18" s="39" t="s">
        <v>64</v>
      </c>
      <c r="H18" s="39" t="s">
        <v>72</v>
      </c>
      <c r="I18" s="39" t="s">
        <v>73</v>
      </c>
      <c r="J18" s="40"/>
      <c r="K18" s="39" t="s">
        <v>74</v>
      </c>
      <c r="L18" s="39" t="s">
        <v>75</v>
      </c>
      <c r="M18" s="39" t="s">
        <v>76</v>
      </c>
      <c r="N18" s="40"/>
      <c r="O18" s="39" t="s">
        <v>64</v>
      </c>
      <c r="P18" s="39" t="s">
        <v>72</v>
      </c>
      <c r="Q18" s="39" t="s">
        <v>73</v>
      </c>
      <c r="R18" s="40"/>
      <c r="S18" s="41" t="str">
        <f>"457,5"</f>
        <v>457,5</v>
      </c>
      <c r="T18" s="42" t="str">
        <f>"297,0319"</f>
        <v>297,0319</v>
      </c>
      <c r="U18" s="37" t="s">
        <v>32</v>
      </c>
    </row>
    <row r="19" spans="1:21">
      <c r="A19" s="43" t="s">
        <v>78</v>
      </c>
      <c r="B19" s="43" t="s">
        <v>79</v>
      </c>
      <c r="C19" s="43" t="s">
        <v>80</v>
      </c>
      <c r="D19" s="44" t="str">
        <f>"0,6641"</f>
        <v>0,6641</v>
      </c>
      <c r="E19" s="43" t="s">
        <v>71</v>
      </c>
      <c r="F19" s="43" t="s">
        <v>81</v>
      </c>
      <c r="G19" s="45" t="s">
        <v>82</v>
      </c>
      <c r="H19" s="45" t="s">
        <v>83</v>
      </c>
      <c r="I19" s="45" t="s">
        <v>84</v>
      </c>
      <c r="J19" s="46"/>
      <c r="K19" s="45" t="s">
        <v>63</v>
      </c>
      <c r="L19" s="45" t="s">
        <v>64</v>
      </c>
      <c r="M19" s="45" t="s">
        <v>85</v>
      </c>
      <c r="N19" s="46"/>
      <c r="O19" s="45" t="s">
        <v>86</v>
      </c>
      <c r="P19" s="46" t="s">
        <v>87</v>
      </c>
      <c r="Q19" s="46"/>
      <c r="R19" s="46"/>
      <c r="S19" s="47" t="str">
        <f>"600,0"</f>
        <v>600,0</v>
      </c>
      <c r="T19" s="48" t="str">
        <f>"398,4600"</f>
        <v>398,4600</v>
      </c>
      <c r="U19" s="43" t="s">
        <v>32</v>
      </c>
    </row>
    <row r="20" spans="1:21">
      <c r="A20" s="49" t="s">
        <v>89</v>
      </c>
      <c r="B20" s="49" t="s">
        <v>90</v>
      </c>
      <c r="C20" s="49" t="s">
        <v>91</v>
      </c>
      <c r="D20" s="50" t="str">
        <f>"0,6518"</f>
        <v>0,6518</v>
      </c>
      <c r="E20" s="49" t="s">
        <v>22</v>
      </c>
      <c r="F20" s="49" t="s">
        <v>23</v>
      </c>
      <c r="G20" s="51" t="s">
        <v>92</v>
      </c>
      <c r="H20" s="51" t="s">
        <v>93</v>
      </c>
      <c r="I20" s="51" t="s">
        <v>85</v>
      </c>
      <c r="J20" s="52"/>
      <c r="K20" s="51" t="s">
        <v>74</v>
      </c>
      <c r="L20" s="51" t="s">
        <v>59</v>
      </c>
      <c r="M20" s="51" t="s">
        <v>94</v>
      </c>
      <c r="N20" s="52"/>
      <c r="O20" s="51" t="s">
        <v>65</v>
      </c>
      <c r="P20" s="51" t="s">
        <v>72</v>
      </c>
      <c r="Q20" s="51" t="s">
        <v>95</v>
      </c>
      <c r="R20" s="52"/>
      <c r="S20" s="53" t="str">
        <f>"450,0"</f>
        <v>450,0</v>
      </c>
      <c r="T20" s="54" t="str">
        <f>"302,4258"</f>
        <v>302,4258</v>
      </c>
      <c r="U20" s="49" t="s">
        <v>32</v>
      </c>
    </row>
    <row r="22" spans="1:21" ht="15">
      <c r="A22" s="35" t="s">
        <v>96</v>
      </c>
      <c r="B22" s="35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21">
      <c r="A23" s="37" t="s">
        <v>98</v>
      </c>
      <c r="B23" s="37" t="s">
        <v>99</v>
      </c>
      <c r="C23" s="37" t="s">
        <v>100</v>
      </c>
      <c r="D23" s="38" t="str">
        <f>"0,5823"</f>
        <v>0,5823</v>
      </c>
      <c r="E23" s="37" t="s">
        <v>22</v>
      </c>
      <c r="F23" s="37" t="s">
        <v>23</v>
      </c>
      <c r="G23" s="39" t="s">
        <v>65</v>
      </c>
      <c r="H23" s="39" t="s">
        <v>101</v>
      </c>
      <c r="I23" s="39" t="s">
        <v>95</v>
      </c>
      <c r="J23" s="40"/>
      <c r="K23" s="39" t="s">
        <v>94</v>
      </c>
      <c r="L23" s="39" t="s">
        <v>93</v>
      </c>
      <c r="M23" s="39" t="s">
        <v>64</v>
      </c>
      <c r="N23" s="40"/>
      <c r="O23" s="39" t="s">
        <v>102</v>
      </c>
      <c r="P23" s="39" t="s">
        <v>82</v>
      </c>
      <c r="Q23" s="39" t="s">
        <v>83</v>
      </c>
      <c r="R23" s="40"/>
      <c r="S23" s="41" t="str">
        <f>"530,0"</f>
        <v>530,0</v>
      </c>
      <c r="T23" s="42" t="str">
        <f>"308,6190"</f>
        <v>308,6190</v>
      </c>
      <c r="U23" s="37" t="s">
        <v>32</v>
      </c>
    </row>
    <row r="24" spans="1:21">
      <c r="A24" s="49" t="s">
        <v>104</v>
      </c>
      <c r="B24" s="49" t="s">
        <v>105</v>
      </c>
      <c r="C24" s="49" t="s">
        <v>106</v>
      </c>
      <c r="D24" s="50" t="str">
        <f>"0,5935"</f>
        <v>0,5935</v>
      </c>
      <c r="E24" s="49" t="s">
        <v>22</v>
      </c>
      <c r="F24" s="49" t="s">
        <v>23</v>
      </c>
      <c r="G24" s="51" t="s">
        <v>43</v>
      </c>
      <c r="H24" s="51" t="s">
        <v>44</v>
      </c>
      <c r="I24" s="51" t="s">
        <v>74</v>
      </c>
      <c r="J24" s="52"/>
      <c r="K24" s="52" t="s">
        <v>39</v>
      </c>
      <c r="L24" s="51" t="s">
        <v>39</v>
      </c>
      <c r="M24" s="51" t="s">
        <v>43</v>
      </c>
      <c r="N24" s="52"/>
      <c r="O24" s="51" t="s">
        <v>44</v>
      </c>
      <c r="P24" s="51" t="s">
        <v>94</v>
      </c>
      <c r="Q24" s="51" t="s">
        <v>92</v>
      </c>
      <c r="R24" s="52"/>
      <c r="S24" s="53" t="str">
        <f>"325,0"</f>
        <v>325,0</v>
      </c>
      <c r="T24" s="54" t="str">
        <f>"192,8713"</f>
        <v>192,8713</v>
      </c>
      <c r="U24" s="49" t="s">
        <v>32</v>
      </c>
    </row>
    <row r="26" spans="1:21" ht="15">
      <c r="A26" s="35" t="s">
        <v>107</v>
      </c>
      <c r="B26" s="35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>
      <c r="A27" s="29" t="s">
        <v>109</v>
      </c>
      <c r="B27" s="29" t="s">
        <v>110</v>
      </c>
      <c r="C27" s="29" t="s">
        <v>111</v>
      </c>
      <c r="D27" s="30" t="str">
        <f>"0,5587"</f>
        <v>0,5587</v>
      </c>
      <c r="E27" s="29" t="s">
        <v>22</v>
      </c>
      <c r="F27" s="29" t="s">
        <v>23</v>
      </c>
      <c r="G27" s="31" t="s">
        <v>73</v>
      </c>
      <c r="H27" s="31" t="s">
        <v>102</v>
      </c>
      <c r="I27" s="31" t="s">
        <v>112</v>
      </c>
      <c r="J27" s="32"/>
      <c r="K27" s="31" t="s">
        <v>113</v>
      </c>
      <c r="L27" s="31" t="s">
        <v>74</v>
      </c>
      <c r="M27" s="32" t="s">
        <v>114</v>
      </c>
      <c r="N27" s="32"/>
      <c r="O27" s="31" t="s">
        <v>73</v>
      </c>
      <c r="P27" s="31" t="s">
        <v>102</v>
      </c>
      <c r="Q27" s="31" t="s">
        <v>82</v>
      </c>
      <c r="R27" s="32"/>
      <c r="S27" s="33" t="str">
        <f>"500,0"</f>
        <v>500,0</v>
      </c>
      <c r="T27" s="34" t="str">
        <f>"279,3750"</f>
        <v>279,3750</v>
      </c>
      <c r="U27" s="29" t="s">
        <v>32</v>
      </c>
    </row>
    <row r="29" spans="1:21" ht="15">
      <c r="E29" s="55" t="s">
        <v>115</v>
      </c>
    </row>
    <row r="30" spans="1:21" ht="15">
      <c r="E30" s="55" t="s">
        <v>116</v>
      </c>
    </row>
    <row r="31" spans="1:21" ht="15">
      <c r="E31" s="55" t="s">
        <v>117</v>
      </c>
    </row>
    <row r="32" spans="1:21" ht="15">
      <c r="E32" s="55" t="s">
        <v>118</v>
      </c>
    </row>
    <row r="33" spans="1:5" ht="15">
      <c r="E33" s="55" t="s">
        <v>118</v>
      </c>
    </row>
    <row r="34" spans="1:5" ht="15">
      <c r="E34" s="55" t="s">
        <v>119</v>
      </c>
    </row>
    <row r="35" spans="1:5" ht="15">
      <c r="E35" s="55"/>
    </row>
    <row r="37" spans="1:5" ht="18">
      <c r="A37" s="56" t="s">
        <v>120</v>
      </c>
      <c r="B37" s="56"/>
    </row>
    <row r="38" spans="1:5" ht="15">
      <c r="A38" s="57" t="s">
        <v>121</v>
      </c>
      <c r="B38" s="57"/>
    </row>
    <row r="39" spans="1:5" ht="14.25">
      <c r="A39" s="59"/>
      <c r="B39" s="60" t="s">
        <v>122</v>
      </c>
    </row>
    <row r="40" spans="1:5" ht="15">
      <c r="A40" s="61" t="s">
        <v>123</v>
      </c>
      <c r="B40" s="61" t="s">
        <v>124</v>
      </c>
      <c r="C40" s="61" t="s">
        <v>125</v>
      </c>
      <c r="D40" s="62" t="s">
        <v>126</v>
      </c>
      <c r="E40" s="61" t="s">
        <v>127</v>
      </c>
    </row>
    <row r="41" spans="1:5">
      <c r="A41" s="58" t="s">
        <v>18</v>
      </c>
      <c r="B41" s="4" t="s">
        <v>128</v>
      </c>
      <c r="C41" s="4" t="s">
        <v>129</v>
      </c>
      <c r="D41" s="63">
        <v>152.5</v>
      </c>
      <c r="E41" s="64">
        <v>179.797503054142</v>
      </c>
    </row>
    <row r="43" spans="1:5" ht="14.25">
      <c r="A43" s="59"/>
      <c r="B43" s="60" t="s">
        <v>130</v>
      </c>
    </row>
    <row r="44" spans="1:5" ht="15">
      <c r="A44" s="61" t="s">
        <v>123</v>
      </c>
      <c r="B44" s="61" t="s">
        <v>124</v>
      </c>
      <c r="C44" s="61" t="s">
        <v>125</v>
      </c>
      <c r="D44" s="62" t="s">
        <v>126</v>
      </c>
      <c r="E44" s="61" t="s">
        <v>127</v>
      </c>
    </row>
    <row r="45" spans="1:5">
      <c r="A45" s="58" t="s">
        <v>34</v>
      </c>
      <c r="B45" s="4" t="s">
        <v>130</v>
      </c>
      <c r="C45" s="4" t="s">
        <v>131</v>
      </c>
      <c r="D45" s="63">
        <v>227.5</v>
      </c>
      <c r="E45" s="64">
        <v>237.828505337238</v>
      </c>
    </row>
    <row r="48" spans="1:5" ht="15">
      <c r="A48" s="57" t="s">
        <v>132</v>
      </c>
      <c r="B48" s="57"/>
    </row>
    <row r="49" spans="1:5" ht="14.25">
      <c r="A49" s="59"/>
      <c r="B49" s="60" t="s">
        <v>133</v>
      </c>
    </row>
    <row r="50" spans="1:5" ht="15">
      <c r="A50" s="61" t="s">
        <v>123</v>
      </c>
      <c r="B50" s="61" t="s">
        <v>124</v>
      </c>
      <c r="C50" s="61" t="s">
        <v>125</v>
      </c>
      <c r="D50" s="62" t="s">
        <v>126</v>
      </c>
      <c r="E50" s="61" t="s">
        <v>127</v>
      </c>
    </row>
    <row r="51" spans="1:5">
      <c r="A51" s="58" t="s">
        <v>67</v>
      </c>
      <c r="B51" s="4" t="s">
        <v>128</v>
      </c>
      <c r="C51" s="4" t="s">
        <v>134</v>
      </c>
      <c r="D51" s="63">
        <v>457.5</v>
      </c>
      <c r="E51" s="64">
        <v>297.03186169266701</v>
      </c>
    </row>
    <row r="52" spans="1:5">
      <c r="A52" s="58" t="s">
        <v>55</v>
      </c>
      <c r="B52" s="4" t="s">
        <v>128</v>
      </c>
      <c r="C52" s="4" t="s">
        <v>135</v>
      </c>
      <c r="D52" s="63">
        <v>365</v>
      </c>
      <c r="E52" s="64">
        <v>262.088251113892</v>
      </c>
    </row>
    <row r="53" spans="1:5">
      <c r="A53" s="58" t="s">
        <v>47</v>
      </c>
      <c r="B53" s="4" t="s">
        <v>136</v>
      </c>
      <c r="C53" s="4" t="s">
        <v>137</v>
      </c>
      <c r="D53" s="63">
        <v>172.5</v>
      </c>
      <c r="E53" s="64">
        <v>168.498004227877</v>
      </c>
    </row>
    <row r="55" spans="1:5" ht="14.25">
      <c r="A55" s="59"/>
      <c r="B55" s="60" t="s">
        <v>130</v>
      </c>
    </row>
    <row r="56" spans="1:5" ht="15">
      <c r="A56" s="61" t="s">
        <v>123</v>
      </c>
      <c r="B56" s="61" t="s">
        <v>124</v>
      </c>
      <c r="C56" s="61" t="s">
        <v>125</v>
      </c>
      <c r="D56" s="62" t="s">
        <v>126</v>
      </c>
      <c r="E56" s="61" t="s">
        <v>127</v>
      </c>
    </row>
    <row r="57" spans="1:5">
      <c r="A57" s="58" t="s">
        <v>77</v>
      </c>
      <c r="B57" s="4" t="s">
        <v>130</v>
      </c>
      <c r="C57" s="4" t="s">
        <v>134</v>
      </c>
      <c r="D57" s="63">
        <v>600</v>
      </c>
      <c r="E57" s="64">
        <v>398.45999479293801</v>
      </c>
    </row>
    <row r="58" spans="1:5">
      <c r="A58" s="58" t="s">
        <v>97</v>
      </c>
      <c r="B58" s="4" t="s">
        <v>130</v>
      </c>
      <c r="C58" s="4" t="s">
        <v>138</v>
      </c>
      <c r="D58" s="63">
        <v>530</v>
      </c>
      <c r="E58" s="64">
        <v>308.619003891945</v>
      </c>
    </row>
    <row r="59" spans="1:5">
      <c r="A59" s="58" t="s">
        <v>108</v>
      </c>
      <c r="B59" s="4" t="s">
        <v>130</v>
      </c>
      <c r="C59" s="4" t="s">
        <v>139</v>
      </c>
      <c r="D59" s="63">
        <v>500</v>
      </c>
      <c r="E59" s="64">
        <v>279.37498688697798</v>
      </c>
    </row>
    <row r="60" spans="1:5">
      <c r="A60" s="58" t="s">
        <v>103</v>
      </c>
      <c r="B60" s="4" t="s">
        <v>130</v>
      </c>
      <c r="C60" s="4" t="s">
        <v>138</v>
      </c>
      <c r="D60" s="63">
        <v>325</v>
      </c>
      <c r="E60" s="64">
        <v>192.871253192425</v>
      </c>
    </row>
    <row r="62" spans="1:5" ht="14.25">
      <c r="A62" s="59"/>
      <c r="B62" s="60" t="s">
        <v>140</v>
      </c>
    </row>
    <row r="63" spans="1:5" ht="15">
      <c r="A63" s="61" t="s">
        <v>123</v>
      </c>
      <c r="B63" s="61" t="s">
        <v>124</v>
      </c>
      <c r="C63" s="61" t="s">
        <v>125</v>
      </c>
      <c r="D63" s="62" t="s">
        <v>126</v>
      </c>
      <c r="E63" s="61" t="s">
        <v>127</v>
      </c>
    </row>
    <row r="64" spans="1:5">
      <c r="A64" s="58" t="s">
        <v>88</v>
      </c>
      <c r="B64" s="4" t="s">
        <v>141</v>
      </c>
      <c r="C64" s="4" t="s">
        <v>134</v>
      </c>
      <c r="D64" s="63">
        <v>450</v>
      </c>
      <c r="E64" s="64">
        <v>302.425800597668</v>
      </c>
    </row>
  </sheetData>
  <mergeCells count="20">
    <mergeCell ref="A22:R22"/>
    <mergeCell ref="A26:R26"/>
    <mergeCell ref="A5:R5"/>
    <mergeCell ref="A8:R8"/>
    <mergeCell ref="A11:R11"/>
    <mergeCell ref="A14:R14"/>
    <mergeCell ref="A17:R17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A3" sqref="A3:A4"/>
    </sheetView>
  </sheetViews>
  <sheetFormatPr defaultRowHeight="12.75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8.4257812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8" bestFit="1" customWidth="1"/>
    <col min="16" max="16" width="8.5703125" style="9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26" t="s">
        <v>343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9" t="s">
        <v>16</v>
      </c>
      <c r="L3" s="19"/>
      <c r="M3" s="19"/>
      <c r="N3" s="19"/>
      <c r="O3" s="11" t="s">
        <v>1</v>
      </c>
      <c r="P3" s="11" t="s">
        <v>3</v>
      </c>
      <c r="Q3" s="24" t="s">
        <v>2</v>
      </c>
    </row>
    <row r="4" spans="1:17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2"/>
      <c r="P4" s="12"/>
      <c r="Q4" s="25"/>
    </row>
    <row r="5" spans="1:17" ht="15">
      <c r="A5" s="27" t="s">
        <v>96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>
      <c r="A6" s="37" t="s">
        <v>345</v>
      </c>
      <c r="B6" s="37" t="s">
        <v>346</v>
      </c>
      <c r="C6" s="37" t="s">
        <v>347</v>
      </c>
      <c r="D6" s="38" t="str">
        <f>"0,5968"</f>
        <v>0,5968</v>
      </c>
      <c r="E6" s="37" t="s">
        <v>71</v>
      </c>
      <c r="F6" s="37" t="s">
        <v>23</v>
      </c>
      <c r="G6" s="39" t="s">
        <v>114</v>
      </c>
      <c r="H6" s="39" t="s">
        <v>94</v>
      </c>
      <c r="I6" s="40"/>
      <c r="J6" s="40"/>
      <c r="K6" s="39" t="s">
        <v>112</v>
      </c>
      <c r="L6" s="39" t="s">
        <v>348</v>
      </c>
      <c r="M6" s="39" t="s">
        <v>328</v>
      </c>
      <c r="N6" s="40"/>
      <c r="O6" s="41" t="str">
        <f>"332,5"</f>
        <v>332,5</v>
      </c>
      <c r="P6" s="42" t="str">
        <f>"198,4194"</f>
        <v>198,4194</v>
      </c>
      <c r="Q6" s="37" t="s">
        <v>32</v>
      </c>
    </row>
    <row r="7" spans="1:17">
      <c r="A7" s="49" t="s">
        <v>350</v>
      </c>
      <c r="B7" s="49" t="s">
        <v>351</v>
      </c>
      <c r="C7" s="49" t="s">
        <v>352</v>
      </c>
      <c r="D7" s="50" t="str">
        <f>"0,5971"</f>
        <v>0,5971</v>
      </c>
      <c r="E7" s="49" t="s">
        <v>71</v>
      </c>
      <c r="F7" s="49" t="s">
        <v>23</v>
      </c>
      <c r="G7" s="51" t="s">
        <v>114</v>
      </c>
      <c r="H7" s="51" t="s">
        <v>59</v>
      </c>
      <c r="I7" s="51" t="s">
        <v>94</v>
      </c>
      <c r="J7" s="52"/>
      <c r="K7" s="51" t="s">
        <v>112</v>
      </c>
      <c r="L7" s="51" t="s">
        <v>348</v>
      </c>
      <c r="M7" s="51" t="s">
        <v>260</v>
      </c>
      <c r="N7" s="52"/>
      <c r="O7" s="53" t="str">
        <f>"335,0"</f>
        <v>335,0</v>
      </c>
      <c r="P7" s="54" t="str">
        <f>"200,0285"</f>
        <v>200,0285</v>
      </c>
      <c r="Q7" s="49" t="s">
        <v>32</v>
      </c>
    </row>
    <row r="9" spans="1:17" ht="15">
      <c r="E9" s="55" t="s">
        <v>115</v>
      </c>
    </row>
    <row r="10" spans="1:17" ht="15">
      <c r="E10" s="55" t="s">
        <v>116</v>
      </c>
    </row>
    <row r="11" spans="1:17" ht="15">
      <c r="E11" s="55" t="s">
        <v>117</v>
      </c>
    </row>
    <row r="12" spans="1:17" ht="15">
      <c r="E12" s="55" t="s">
        <v>118</v>
      </c>
    </row>
    <row r="13" spans="1:17" ht="15">
      <c r="E13" s="55" t="s">
        <v>118</v>
      </c>
    </row>
    <row r="14" spans="1:17" ht="15">
      <c r="E14" s="55" t="s">
        <v>119</v>
      </c>
    </row>
    <row r="15" spans="1:17" ht="15">
      <c r="E15" s="55"/>
    </row>
    <row r="17" spans="1:5" ht="18">
      <c r="A17" s="56" t="s">
        <v>120</v>
      </c>
      <c r="B17" s="56"/>
    </row>
    <row r="18" spans="1:5" ht="15">
      <c r="A18" s="57" t="s">
        <v>132</v>
      </c>
      <c r="B18" s="57"/>
    </row>
    <row r="19" spans="1:5" ht="14.25">
      <c r="A19" s="59"/>
      <c r="B19" s="60" t="s">
        <v>133</v>
      </c>
    </row>
    <row r="20" spans="1:5" ht="15">
      <c r="A20" s="61" t="s">
        <v>123</v>
      </c>
      <c r="B20" s="61" t="s">
        <v>124</v>
      </c>
      <c r="C20" s="61" t="s">
        <v>125</v>
      </c>
      <c r="D20" s="62" t="s">
        <v>126</v>
      </c>
      <c r="E20" s="61" t="s">
        <v>127</v>
      </c>
    </row>
    <row r="21" spans="1:5">
      <c r="A21" s="58" t="s">
        <v>349</v>
      </c>
      <c r="B21" s="4" t="s">
        <v>230</v>
      </c>
      <c r="C21" s="4" t="s">
        <v>138</v>
      </c>
      <c r="D21" s="63">
        <v>335</v>
      </c>
      <c r="E21" s="64">
        <v>200.02850651740999</v>
      </c>
    </row>
    <row r="22" spans="1:5">
      <c r="A22" s="58" t="s">
        <v>344</v>
      </c>
      <c r="B22" s="4" t="s">
        <v>128</v>
      </c>
      <c r="C22" s="4" t="s">
        <v>138</v>
      </c>
      <c r="D22" s="63">
        <v>332.5</v>
      </c>
      <c r="E22" s="64">
        <v>198.41938197612799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329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330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33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332</v>
      </c>
      <c r="B6" s="29" t="s">
        <v>333</v>
      </c>
      <c r="C6" s="29" t="s">
        <v>37</v>
      </c>
      <c r="D6" s="30" t="str">
        <f>"1,0454"</f>
        <v>1,0454</v>
      </c>
      <c r="E6" s="29" t="s">
        <v>148</v>
      </c>
      <c r="F6" s="29" t="s">
        <v>23</v>
      </c>
      <c r="G6" s="31" t="s">
        <v>72</v>
      </c>
      <c r="H6" s="31" t="s">
        <v>73</v>
      </c>
      <c r="I6" s="31" t="s">
        <v>95</v>
      </c>
      <c r="J6" s="32"/>
      <c r="K6" s="33" t="str">
        <f>"175,0"</f>
        <v>175,0</v>
      </c>
      <c r="L6" s="34" t="str">
        <f>"182,9450"</f>
        <v>182,9450</v>
      </c>
      <c r="M6" s="29" t="s">
        <v>32</v>
      </c>
    </row>
    <row r="8" spans="1:13" ht="15">
      <c r="A8" s="35" t="s">
        <v>159</v>
      </c>
      <c r="B8" s="35"/>
      <c r="C8" s="35"/>
      <c r="D8" s="36"/>
      <c r="E8" s="35"/>
      <c r="F8" s="35"/>
      <c r="G8" s="35"/>
      <c r="H8" s="35"/>
      <c r="I8" s="35"/>
      <c r="J8" s="35"/>
    </row>
    <row r="9" spans="1:13">
      <c r="A9" s="29" t="s">
        <v>335</v>
      </c>
      <c r="B9" s="29" t="s">
        <v>336</v>
      </c>
      <c r="C9" s="29" t="s">
        <v>337</v>
      </c>
      <c r="D9" s="30" t="str">
        <f>"1,0410"</f>
        <v>1,0410</v>
      </c>
      <c r="E9" s="29" t="s">
        <v>164</v>
      </c>
      <c r="F9" s="29" t="s">
        <v>23</v>
      </c>
      <c r="G9" s="31" t="s">
        <v>72</v>
      </c>
      <c r="H9" s="31" t="s">
        <v>102</v>
      </c>
      <c r="I9" s="31" t="s">
        <v>247</v>
      </c>
      <c r="J9" s="32"/>
      <c r="K9" s="33" t="str">
        <f>"185,0"</f>
        <v>185,0</v>
      </c>
      <c r="L9" s="34" t="str">
        <f>"192,5850"</f>
        <v>192,5850</v>
      </c>
      <c r="M9" s="29" t="s">
        <v>32</v>
      </c>
    </row>
    <row r="11" spans="1:13" ht="15">
      <c r="A11" s="35" t="s">
        <v>173</v>
      </c>
      <c r="B11" s="35"/>
      <c r="C11" s="35"/>
      <c r="D11" s="36"/>
      <c r="E11" s="35"/>
      <c r="F11" s="35"/>
      <c r="G11" s="35"/>
      <c r="H11" s="35"/>
      <c r="I11" s="35"/>
      <c r="J11" s="35"/>
    </row>
    <row r="12" spans="1:13">
      <c r="A12" s="37" t="s">
        <v>175</v>
      </c>
      <c r="B12" s="37" t="s">
        <v>176</v>
      </c>
      <c r="C12" s="37" t="s">
        <v>177</v>
      </c>
      <c r="D12" s="38" t="str">
        <f>"0,9166"</f>
        <v>0,9166</v>
      </c>
      <c r="E12" s="37" t="s">
        <v>178</v>
      </c>
      <c r="F12" s="37" t="s">
        <v>23</v>
      </c>
      <c r="G12" s="39" t="s">
        <v>65</v>
      </c>
      <c r="H12" s="39" t="s">
        <v>73</v>
      </c>
      <c r="I12" s="39" t="s">
        <v>338</v>
      </c>
      <c r="J12" s="40"/>
      <c r="K12" s="41" t="str">
        <f>"190,0"</f>
        <v>190,0</v>
      </c>
      <c r="L12" s="42" t="str">
        <f>"174,1635"</f>
        <v>174,1635</v>
      </c>
      <c r="M12" s="37" t="s">
        <v>32</v>
      </c>
    </row>
    <row r="13" spans="1:13">
      <c r="A13" s="49" t="s">
        <v>340</v>
      </c>
      <c r="B13" s="49" t="s">
        <v>341</v>
      </c>
      <c r="C13" s="49" t="s">
        <v>342</v>
      </c>
      <c r="D13" s="50" t="str">
        <f>"0,9358"</f>
        <v>0,9358</v>
      </c>
      <c r="E13" s="49" t="s">
        <v>148</v>
      </c>
      <c r="F13" s="49" t="s">
        <v>23</v>
      </c>
      <c r="G13" s="51" t="s">
        <v>65</v>
      </c>
      <c r="H13" s="52" t="s">
        <v>72</v>
      </c>
      <c r="I13" s="51" t="s">
        <v>72</v>
      </c>
      <c r="J13" s="52"/>
      <c r="K13" s="53" t="str">
        <f>"160,0"</f>
        <v>160,0</v>
      </c>
      <c r="L13" s="54" t="str">
        <f>"149,7200"</f>
        <v>149,7200</v>
      </c>
      <c r="M13" s="49" t="s">
        <v>32</v>
      </c>
    </row>
    <row r="15" spans="1:13" ht="15">
      <c r="E15" s="55" t="s">
        <v>115</v>
      </c>
    </row>
    <row r="16" spans="1:13" ht="15">
      <c r="E16" s="55" t="s">
        <v>116</v>
      </c>
    </row>
    <row r="17" spans="1:5" ht="15">
      <c r="E17" s="55" t="s">
        <v>117</v>
      </c>
    </row>
    <row r="18" spans="1:5" ht="15">
      <c r="E18" s="55" t="s">
        <v>118</v>
      </c>
    </row>
    <row r="19" spans="1:5" ht="15">
      <c r="E19" s="55" t="s">
        <v>118</v>
      </c>
    </row>
    <row r="20" spans="1:5" ht="15">
      <c r="E20" s="55" t="s">
        <v>119</v>
      </c>
    </row>
    <row r="21" spans="1:5" ht="15">
      <c r="E21" s="55"/>
    </row>
    <row r="23" spans="1:5" ht="18">
      <c r="A23" s="56" t="s">
        <v>120</v>
      </c>
      <c r="B23" s="56"/>
    </row>
    <row r="24" spans="1:5" ht="15">
      <c r="A24" s="57" t="s">
        <v>121</v>
      </c>
      <c r="B24" s="57"/>
    </row>
    <row r="25" spans="1:5" ht="14.25">
      <c r="A25" s="59"/>
      <c r="B25" s="60" t="s">
        <v>325</v>
      </c>
    </row>
    <row r="26" spans="1:5" ht="15">
      <c r="A26" s="61" t="s">
        <v>123</v>
      </c>
      <c r="B26" s="61" t="s">
        <v>124</v>
      </c>
      <c r="C26" s="61" t="s">
        <v>125</v>
      </c>
      <c r="D26" s="62" t="s">
        <v>155</v>
      </c>
      <c r="E26" s="61" t="s">
        <v>127</v>
      </c>
    </row>
    <row r="27" spans="1:5">
      <c r="A27" s="58" t="s">
        <v>331</v>
      </c>
      <c r="B27" s="4" t="s">
        <v>222</v>
      </c>
      <c r="C27" s="4" t="s">
        <v>131</v>
      </c>
      <c r="D27" s="63">
        <v>175</v>
      </c>
      <c r="E27" s="64">
        <v>182.94500410556799</v>
      </c>
    </row>
    <row r="29" spans="1:5" ht="14.25">
      <c r="A29" s="59"/>
      <c r="B29" s="60" t="s">
        <v>130</v>
      </c>
    </row>
    <row r="30" spans="1:5" ht="15">
      <c r="A30" s="61" t="s">
        <v>123</v>
      </c>
      <c r="B30" s="61" t="s">
        <v>124</v>
      </c>
      <c r="C30" s="61" t="s">
        <v>125</v>
      </c>
      <c r="D30" s="62" t="s">
        <v>155</v>
      </c>
      <c r="E30" s="61" t="s">
        <v>127</v>
      </c>
    </row>
    <row r="31" spans="1:5">
      <c r="A31" s="58" t="s">
        <v>174</v>
      </c>
      <c r="B31" s="4" t="s">
        <v>130</v>
      </c>
      <c r="C31" s="4" t="s">
        <v>220</v>
      </c>
      <c r="D31" s="63">
        <v>190</v>
      </c>
      <c r="E31" s="64">
        <v>174.163499474525</v>
      </c>
    </row>
    <row r="32" spans="1:5">
      <c r="A32" s="58" t="s">
        <v>339</v>
      </c>
      <c r="B32" s="4" t="s">
        <v>130</v>
      </c>
      <c r="C32" s="4" t="s">
        <v>220</v>
      </c>
      <c r="D32" s="63">
        <v>160</v>
      </c>
      <c r="E32" s="64">
        <v>149.72000122070301</v>
      </c>
    </row>
    <row r="34" spans="1:5" ht="14.25">
      <c r="A34" s="59"/>
      <c r="B34" s="60" t="s">
        <v>140</v>
      </c>
    </row>
    <row r="35" spans="1:5" ht="15">
      <c r="A35" s="61" t="s">
        <v>123</v>
      </c>
      <c r="B35" s="61" t="s">
        <v>124</v>
      </c>
      <c r="C35" s="61" t="s">
        <v>125</v>
      </c>
      <c r="D35" s="62" t="s">
        <v>155</v>
      </c>
      <c r="E35" s="61" t="s">
        <v>127</v>
      </c>
    </row>
    <row r="36" spans="1:5">
      <c r="A36" s="58" t="s">
        <v>334</v>
      </c>
      <c r="B36" s="4" t="s">
        <v>141</v>
      </c>
      <c r="C36" s="4" t="s">
        <v>171</v>
      </c>
      <c r="D36" s="63">
        <v>185</v>
      </c>
      <c r="E36" s="64">
        <v>192.58500158786799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327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14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54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243</v>
      </c>
      <c r="B6" s="29" t="s">
        <v>244</v>
      </c>
      <c r="C6" s="29" t="s">
        <v>245</v>
      </c>
      <c r="D6" s="30" t="str">
        <f>"0,7056"</f>
        <v>0,7056</v>
      </c>
      <c r="E6" s="29" t="s">
        <v>71</v>
      </c>
      <c r="F6" s="29" t="s">
        <v>246</v>
      </c>
      <c r="G6" s="31" t="s">
        <v>65</v>
      </c>
      <c r="H6" s="32" t="s">
        <v>85</v>
      </c>
      <c r="I6" s="31" t="s">
        <v>85</v>
      </c>
      <c r="J6" s="32"/>
      <c r="K6" s="33" t="str">
        <f>"155,0"</f>
        <v>155,0</v>
      </c>
      <c r="L6" s="34" t="str">
        <f>"109,3757"</f>
        <v>109,3757</v>
      </c>
      <c r="M6" s="29" t="s">
        <v>32</v>
      </c>
    </row>
    <row r="8" spans="1:13" ht="15">
      <c r="A8" s="35" t="s">
        <v>149</v>
      </c>
      <c r="B8" s="35"/>
      <c r="C8" s="35"/>
      <c r="D8" s="36"/>
      <c r="E8" s="35"/>
      <c r="F8" s="35"/>
      <c r="G8" s="35"/>
      <c r="H8" s="35"/>
      <c r="I8" s="35"/>
      <c r="J8" s="35"/>
    </row>
    <row r="9" spans="1:13">
      <c r="A9" s="29" t="s">
        <v>257</v>
      </c>
      <c r="B9" s="29" t="s">
        <v>258</v>
      </c>
      <c r="C9" s="29" t="s">
        <v>259</v>
      </c>
      <c r="D9" s="30" t="str">
        <f>"0,5802"</f>
        <v>0,5802</v>
      </c>
      <c r="E9" s="29" t="s">
        <v>148</v>
      </c>
      <c r="F9" s="29" t="s">
        <v>23</v>
      </c>
      <c r="G9" s="31" t="s">
        <v>83</v>
      </c>
      <c r="H9" s="32" t="s">
        <v>328</v>
      </c>
      <c r="I9" s="31" t="s">
        <v>328</v>
      </c>
      <c r="J9" s="32"/>
      <c r="K9" s="33" t="str">
        <f>"212,5"</f>
        <v>212,5</v>
      </c>
      <c r="L9" s="34" t="str">
        <f>"123,2819"</f>
        <v>123,2819</v>
      </c>
      <c r="M9" s="29" t="s">
        <v>32</v>
      </c>
    </row>
    <row r="11" spans="1:13" ht="15">
      <c r="E11" s="55" t="s">
        <v>115</v>
      </c>
    </row>
    <row r="12" spans="1:13" ht="15">
      <c r="E12" s="55" t="s">
        <v>116</v>
      </c>
    </row>
    <row r="13" spans="1:13" ht="15">
      <c r="E13" s="55" t="s">
        <v>117</v>
      </c>
    </row>
    <row r="14" spans="1:13" ht="15">
      <c r="E14" s="55" t="s">
        <v>118</v>
      </c>
    </row>
    <row r="15" spans="1:13" ht="15">
      <c r="E15" s="55" t="s">
        <v>118</v>
      </c>
    </row>
    <row r="16" spans="1:13" ht="15">
      <c r="E16" s="55" t="s">
        <v>119</v>
      </c>
    </row>
    <row r="17" spans="1:5" ht="15">
      <c r="E17" s="55"/>
    </row>
    <row r="19" spans="1:5" ht="18">
      <c r="A19" s="56" t="s">
        <v>120</v>
      </c>
      <c r="B19" s="56"/>
    </row>
    <row r="20" spans="1:5" ht="15">
      <c r="A20" s="57" t="s">
        <v>132</v>
      </c>
      <c r="B20" s="57"/>
    </row>
    <row r="21" spans="1:5" ht="14.25">
      <c r="A21" s="59"/>
      <c r="B21" s="60" t="s">
        <v>130</v>
      </c>
    </row>
    <row r="22" spans="1:5" ht="15">
      <c r="A22" s="61" t="s">
        <v>123</v>
      </c>
      <c r="B22" s="61" t="s">
        <v>124</v>
      </c>
      <c r="C22" s="61" t="s">
        <v>125</v>
      </c>
      <c r="D22" s="62" t="s">
        <v>155</v>
      </c>
      <c r="E22" s="61" t="s">
        <v>127</v>
      </c>
    </row>
    <row r="23" spans="1:5">
      <c r="A23" s="58" t="s">
        <v>256</v>
      </c>
      <c r="B23" s="4" t="s">
        <v>130</v>
      </c>
      <c r="C23" s="4" t="s">
        <v>156</v>
      </c>
      <c r="D23" s="63">
        <v>212.5</v>
      </c>
      <c r="E23" s="64">
        <v>123.28187674284</v>
      </c>
    </row>
    <row r="24" spans="1:5">
      <c r="A24" s="58" t="s">
        <v>242</v>
      </c>
      <c r="B24" s="4" t="s">
        <v>130</v>
      </c>
      <c r="C24" s="4" t="s">
        <v>135</v>
      </c>
      <c r="D24" s="63">
        <v>155</v>
      </c>
      <c r="E24" s="64">
        <v>109.375745654106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sqref="A1:Y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263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159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265</v>
      </c>
      <c r="B6" s="29" t="s">
        <v>266</v>
      </c>
      <c r="C6" s="29" t="s">
        <v>267</v>
      </c>
      <c r="D6" s="30" t="str">
        <f>"0,9889"</f>
        <v>0,9889</v>
      </c>
      <c r="E6" s="29" t="s">
        <v>71</v>
      </c>
      <c r="F6" s="29" t="s">
        <v>23</v>
      </c>
      <c r="G6" s="32" t="s">
        <v>29</v>
      </c>
      <c r="H6" s="31" t="s">
        <v>29</v>
      </c>
      <c r="I6" s="31" t="s">
        <v>268</v>
      </c>
      <c r="J6" s="32"/>
      <c r="K6" s="33" t="str">
        <f>"35,0"</f>
        <v>35,0</v>
      </c>
      <c r="L6" s="34" t="str">
        <f>"34,6115"</f>
        <v>34,6115</v>
      </c>
      <c r="M6" s="29" t="s">
        <v>32</v>
      </c>
    </row>
    <row r="8" spans="1:13" ht="15">
      <c r="A8" s="35" t="s">
        <v>173</v>
      </c>
      <c r="B8" s="35"/>
      <c r="C8" s="35"/>
      <c r="D8" s="36"/>
      <c r="E8" s="35"/>
      <c r="F8" s="35"/>
      <c r="G8" s="35"/>
      <c r="H8" s="35"/>
      <c r="I8" s="35"/>
      <c r="J8" s="35"/>
    </row>
    <row r="9" spans="1:13">
      <c r="A9" s="29" t="s">
        <v>175</v>
      </c>
      <c r="B9" s="29" t="s">
        <v>176</v>
      </c>
      <c r="C9" s="29" t="s">
        <v>177</v>
      </c>
      <c r="D9" s="30" t="str">
        <f>"0,9166"</f>
        <v>0,9166</v>
      </c>
      <c r="E9" s="29" t="s">
        <v>178</v>
      </c>
      <c r="F9" s="29" t="s">
        <v>23</v>
      </c>
      <c r="G9" s="31" t="s">
        <v>269</v>
      </c>
      <c r="H9" s="32" t="s">
        <v>28</v>
      </c>
      <c r="I9" s="32" t="s">
        <v>28</v>
      </c>
      <c r="J9" s="32"/>
      <c r="K9" s="33" t="str">
        <f>"27,5"</f>
        <v>27,5</v>
      </c>
      <c r="L9" s="34" t="str">
        <f>"25,2079"</f>
        <v>25,2079</v>
      </c>
      <c r="M9" s="29" t="s">
        <v>32</v>
      </c>
    </row>
    <row r="11" spans="1:13" ht="15">
      <c r="A11" s="35" t="s">
        <v>66</v>
      </c>
      <c r="B11" s="35"/>
      <c r="C11" s="35"/>
      <c r="D11" s="36"/>
      <c r="E11" s="35"/>
      <c r="F11" s="35"/>
      <c r="G11" s="35"/>
      <c r="H11" s="35"/>
      <c r="I11" s="35"/>
      <c r="J11" s="35"/>
    </row>
    <row r="12" spans="1:13">
      <c r="A12" s="29" t="s">
        <v>271</v>
      </c>
      <c r="B12" s="29" t="s">
        <v>272</v>
      </c>
      <c r="C12" s="29" t="s">
        <v>273</v>
      </c>
      <c r="D12" s="30" t="str">
        <f>"0,7987"</f>
        <v>0,7987</v>
      </c>
      <c r="E12" s="29" t="s">
        <v>255</v>
      </c>
      <c r="F12" s="29" t="s">
        <v>23</v>
      </c>
      <c r="G12" s="31" t="s">
        <v>274</v>
      </c>
      <c r="H12" s="31" t="s">
        <v>275</v>
      </c>
      <c r="I12" s="32" t="s">
        <v>276</v>
      </c>
      <c r="J12" s="32"/>
      <c r="K12" s="33" t="str">
        <f>"20,0"</f>
        <v>20,0</v>
      </c>
      <c r="L12" s="34" t="str">
        <f>"15,9730"</f>
        <v>15,9730</v>
      </c>
      <c r="M12" s="29" t="s">
        <v>32</v>
      </c>
    </row>
    <row r="14" spans="1:13" ht="15">
      <c r="A14" s="35" t="s">
        <v>277</v>
      </c>
      <c r="B14" s="35"/>
      <c r="C14" s="35"/>
      <c r="D14" s="36"/>
      <c r="E14" s="35"/>
      <c r="F14" s="35"/>
      <c r="G14" s="35"/>
      <c r="H14" s="35"/>
      <c r="I14" s="35"/>
      <c r="J14" s="35"/>
    </row>
    <row r="15" spans="1:13">
      <c r="A15" s="29" t="s">
        <v>279</v>
      </c>
      <c r="B15" s="29" t="s">
        <v>280</v>
      </c>
      <c r="C15" s="29" t="s">
        <v>281</v>
      </c>
      <c r="D15" s="30" t="str">
        <f>"0,7190"</f>
        <v>0,7190</v>
      </c>
      <c r="E15" s="29" t="s">
        <v>255</v>
      </c>
      <c r="F15" s="29" t="s">
        <v>23</v>
      </c>
      <c r="G15" s="31" t="s">
        <v>275</v>
      </c>
      <c r="H15" s="32" t="s">
        <v>27</v>
      </c>
      <c r="I15" s="31" t="s">
        <v>27</v>
      </c>
      <c r="J15" s="32"/>
      <c r="K15" s="33" t="str">
        <f>"25,0"</f>
        <v>25,0</v>
      </c>
      <c r="L15" s="34" t="str">
        <f>"17,9750"</f>
        <v>17,9750</v>
      </c>
      <c r="M15" s="29" t="s">
        <v>32</v>
      </c>
    </row>
    <row r="17" spans="1:13" ht="15">
      <c r="A17" s="35" t="s">
        <v>173</v>
      </c>
      <c r="B17" s="35"/>
      <c r="C17" s="35"/>
      <c r="D17" s="36"/>
      <c r="E17" s="35"/>
      <c r="F17" s="35"/>
      <c r="G17" s="35"/>
      <c r="H17" s="35"/>
      <c r="I17" s="35"/>
      <c r="J17" s="35"/>
    </row>
    <row r="18" spans="1:13">
      <c r="A18" s="29" t="s">
        <v>283</v>
      </c>
      <c r="B18" s="29" t="s">
        <v>284</v>
      </c>
      <c r="C18" s="29" t="s">
        <v>285</v>
      </c>
      <c r="D18" s="30" t="str">
        <f>"0,7484"</f>
        <v>0,7484</v>
      </c>
      <c r="E18" s="29" t="s">
        <v>71</v>
      </c>
      <c r="F18" s="29" t="s">
        <v>23</v>
      </c>
      <c r="G18" s="31" t="s">
        <v>41</v>
      </c>
      <c r="H18" s="31" t="s">
        <v>42</v>
      </c>
      <c r="I18" s="32" t="s">
        <v>24</v>
      </c>
      <c r="J18" s="32"/>
      <c r="K18" s="33" t="str">
        <f>"45,0"</f>
        <v>45,0</v>
      </c>
      <c r="L18" s="34" t="str">
        <f>"33,6780"</f>
        <v>33,6780</v>
      </c>
      <c r="M18" s="29" t="s">
        <v>32</v>
      </c>
    </row>
    <row r="20" spans="1:13" ht="15">
      <c r="A20" s="35" t="s">
        <v>54</v>
      </c>
      <c r="B20" s="35"/>
      <c r="C20" s="35"/>
      <c r="D20" s="36"/>
      <c r="E20" s="35"/>
      <c r="F20" s="35"/>
      <c r="G20" s="35"/>
      <c r="H20" s="35"/>
      <c r="I20" s="35"/>
      <c r="J20" s="35"/>
    </row>
    <row r="21" spans="1:13">
      <c r="A21" s="29" t="s">
        <v>287</v>
      </c>
      <c r="B21" s="29" t="s">
        <v>288</v>
      </c>
      <c r="C21" s="29" t="s">
        <v>289</v>
      </c>
      <c r="D21" s="30" t="str">
        <f>"0,6927"</f>
        <v>0,6927</v>
      </c>
      <c r="E21" s="29" t="s">
        <v>71</v>
      </c>
      <c r="F21" s="29" t="s">
        <v>23</v>
      </c>
      <c r="G21" s="32" t="s">
        <v>24</v>
      </c>
      <c r="H21" s="31" t="s">
        <v>25</v>
      </c>
      <c r="I21" s="31" t="s">
        <v>290</v>
      </c>
      <c r="J21" s="32"/>
      <c r="K21" s="33" t="str">
        <f>"57,5"</f>
        <v>57,5</v>
      </c>
      <c r="L21" s="34" t="str">
        <f>"39,8274"</f>
        <v>39,8274</v>
      </c>
      <c r="M21" s="29" t="s">
        <v>32</v>
      </c>
    </row>
    <row r="23" spans="1:13" ht="15">
      <c r="A23" s="35" t="s">
        <v>66</v>
      </c>
      <c r="B23" s="35"/>
      <c r="C23" s="35"/>
      <c r="D23" s="36"/>
      <c r="E23" s="35"/>
      <c r="F23" s="35"/>
      <c r="G23" s="35"/>
      <c r="H23" s="35"/>
      <c r="I23" s="35"/>
      <c r="J23" s="35"/>
    </row>
    <row r="24" spans="1:13">
      <c r="A24" s="37" t="s">
        <v>292</v>
      </c>
      <c r="B24" s="37" t="s">
        <v>293</v>
      </c>
      <c r="C24" s="37" t="s">
        <v>294</v>
      </c>
      <c r="D24" s="38" t="str">
        <f>"0,6694"</f>
        <v>0,6694</v>
      </c>
      <c r="E24" s="37" t="s">
        <v>22</v>
      </c>
      <c r="F24" s="37" t="s">
        <v>23</v>
      </c>
      <c r="G24" s="39" t="s">
        <v>295</v>
      </c>
      <c r="H24" s="40" t="s">
        <v>51</v>
      </c>
      <c r="I24" s="40" t="s">
        <v>51</v>
      </c>
      <c r="J24" s="40"/>
      <c r="K24" s="41" t="str">
        <f>"52,5"</f>
        <v>52,5</v>
      </c>
      <c r="L24" s="42" t="str">
        <f>"35,1409"</f>
        <v>35,1409</v>
      </c>
      <c r="M24" s="37" t="s">
        <v>32</v>
      </c>
    </row>
    <row r="25" spans="1:13">
      <c r="A25" s="43" t="s">
        <v>180</v>
      </c>
      <c r="B25" s="43" t="s">
        <v>181</v>
      </c>
      <c r="C25" s="43" t="s">
        <v>182</v>
      </c>
      <c r="D25" s="44" t="str">
        <f>"0,6456"</f>
        <v>0,6456</v>
      </c>
      <c r="E25" s="43" t="s">
        <v>178</v>
      </c>
      <c r="F25" s="43" t="s">
        <v>23</v>
      </c>
      <c r="G25" s="46" t="s">
        <v>25</v>
      </c>
      <c r="H25" s="45" t="s">
        <v>25</v>
      </c>
      <c r="I25" s="46" t="s">
        <v>290</v>
      </c>
      <c r="J25" s="46"/>
      <c r="K25" s="47" t="str">
        <f>"55,0"</f>
        <v>55,0</v>
      </c>
      <c r="L25" s="48" t="str">
        <f>"35,5080"</f>
        <v>35,5080</v>
      </c>
      <c r="M25" s="43" t="s">
        <v>32</v>
      </c>
    </row>
    <row r="26" spans="1:13">
      <c r="A26" s="43" t="s">
        <v>184</v>
      </c>
      <c r="B26" s="43" t="s">
        <v>185</v>
      </c>
      <c r="C26" s="43" t="s">
        <v>182</v>
      </c>
      <c r="D26" s="44" t="str">
        <f>"0,6456"</f>
        <v>0,6456</v>
      </c>
      <c r="E26" s="43" t="s">
        <v>164</v>
      </c>
      <c r="F26" s="43" t="s">
        <v>23</v>
      </c>
      <c r="G26" s="45" t="s">
        <v>26</v>
      </c>
      <c r="H26" s="45" t="s">
        <v>30</v>
      </c>
      <c r="I26" s="45" t="s">
        <v>31</v>
      </c>
      <c r="J26" s="46"/>
      <c r="K26" s="47" t="str">
        <f>"67,5"</f>
        <v>67,5</v>
      </c>
      <c r="L26" s="48" t="str">
        <f>"43,5780"</f>
        <v>43,5780</v>
      </c>
      <c r="M26" s="43" t="s">
        <v>32</v>
      </c>
    </row>
    <row r="27" spans="1:13">
      <c r="A27" s="43" t="s">
        <v>187</v>
      </c>
      <c r="B27" s="43" t="s">
        <v>188</v>
      </c>
      <c r="C27" s="43" t="s">
        <v>70</v>
      </c>
      <c r="D27" s="44" t="str">
        <f>"0,6492"</f>
        <v>0,6492</v>
      </c>
      <c r="E27" s="43" t="s">
        <v>178</v>
      </c>
      <c r="F27" s="43" t="s">
        <v>23</v>
      </c>
      <c r="G27" s="45" t="s">
        <v>25</v>
      </c>
      <c r="H27" s="46" t="s">
        <v>26</v>
      </c>
      <c r="I27" s="46" t="s">
        <v>26</v>
      </c>
      <c r="J27" s="46"/>
      <c r="K27" s="47" t="str">
        <f>"55,0"</f>
        <v>55,0</v>
      </c>
      <c r="L27" s="48" t="str">
        <f>"35,7087"</f>
        <v>35,7087</v>
      </c>
      <c r="M27" s="43" t="s">
        <v>32</v>
      </c>
    </row>
    <row r="28" spans="1:13">
      <c r="A28" s="49" t="s">
        <v>190</v>
      </c>
      <c r="B28" s="49" t="s">
        <v>191</v>
      </c>
      <c r="C28" s="49" t="s">
        <v>192</v>
      </c>
      <c r="D28" s="50" t="str">
        <f>"0,6540"</f>
        <v>0,6540</v>
      </c>
      <c r="E28" s="49" t="s">
        <v>164</v>
      </c>
      <c r="F28" s="49" t="s">
        <v>23</v>
      </c>
      <c r="G28" s="51" t="s">
        <v>295</v>
      </c>
      <c r="H28" s="51" t="s">
        <v>25</v>
      </c>
      <c r="I28" s="51" t="s">
        <v>290</v>
      </c>
      <c r="J28" s="52"/>
      <c r="K28" s="53" t="str">
        <f>"57,5"</f>
        <v>57,5</v>
      </c>
      <c r="L28" s="54" t="str">
        <f>"39,6733"</f>
        <v>39,6733</v>
      </c>
      <c r="M28" s="49" t="s">
        <v>32</v>
      </c>
    </row>
    <row r="30" spans="1:13" ht="15">
      <c r="A30" s="35" t="s">
        <v>193</v>
      </c>
      <c r="B30" s="35"/>
      <c r="C30" s="35"/>
      <c r="D30" s="36"/>
      <c r="E30" s="35"/>
      <c r="F30" s="35"/>
      <c r="G30" s="35"/>
      <c r="H30" s="35"/>
      <c r="I30" s="35"/>
      <c r="J30" s="35"/>
    </row>
    <row r="31" spans="1:13">
      <c r="A31" s="37" t="s">
        <v>297</v>
      </c>
      <c r="B31" s="37" t="s">
        <v>298</v>
      </c>
      <c r="C31" s="37" t="s">
        <v>299</v>
      </c>
      <c r="D31" s="38" t="str">
        <f>"0,6251"</f>
        <v>0,6251</v>
      </c>
      <c r="E31" s="37" t="s">
        <v>164</v>
      </c>
      <c r="F31" s="37" t="s">
        <v>300</v>
      </c>
      <c r="G31" s="39" t="s">
        <v>25</v>
      </c>
      <c r="H31" s="40" t="s">
        <v>51</v>
      </c>
      <c r="I31" s="39" t="s">
        <v>30</v>
      </c>
      <c r="J31" s="40"/>
      <c r="K31" s="41" t="str">
        <f>"65,0"</f>
        <v>65,0</v>
      </c>
      <c r="L31" s="42" t="str">
        <f>"40,6315"</f>
        <v>40,6315</v>
      </c>
      <c r="M31" s="37" t="s">
        <v>32</v>
      </c>
    </row>
    <row r="32" spans="1:13">
      <c r="A32" s="43" t="s">
        <v>302</v>
      </c>
      <c r="B32" s="43" t="s">
        <v>303</v>
      </c>
      <c r="C32" s="43" t="s">
        <v>304</v>
      </c>
      <c r="D32" s="44" t="str">
        <f>"0,6238"</f>
        <v>0,6238</v>
      </c>
      <c r="E32" s="43" t="s">
        <v>164</v>
      </c>
      <c r="F32" s="43" t="s">
        <v>23</v>
      </c>
      <c r="G32" s="45" t="s">
        <v>24</v>
      </c>
      <c r="H32" s="45" t="s">
        <v>25</v>
      </c>
      <c r="I32" s="46" t="s">
        <v>290</v>
      </c>
      <c r="J32" s="46"/>
      <c r="K32" s="47" t="str">
        <f>"55,0"</f>
        <v>55,0</v>
      </c>
      <c r="L32" s="48" t="str">
        <f>"34,3117"</f>
        <v>34,3117</v>
      </c>
      <c r="M32" s="43" t="s">
        <v>32</v>
      </c>
    </row>
    <row r="33" spans="1:13">
      <c r="A33" s="43" t="s">
        <v>305</v>
      </c>
      <c r="B33" s="43" t="s">
        <v>200</v>
      </c>
      <c r="C33" s="43" t="s">
        <v>201</v>
      </c>
      <c r="D33" s="44" t="str">
        <f>"0,6217"</f>
        <v>0,6217</v>
      </c>
      <c r="E33" s="43" t="s">
        <v>178</v>
      </c>
      <c r="F33" s="43" t="s">
        <v>23</v>
      </c>
      <c r="G33" s="46" t="s">
        <v>24</v>
      </c>
      <c r="H33" s="45" t="s">
        <v>295</v>
      </c>
      <c r="I33" s="45" t="s">
        <v>25</v>
      </c>
      <c r="J33" s="46"/>
      <c r="K33" s="47" t="str">
        <f>"55,0"</f>
        <v>55,0</v>
      </c>
      <c r="L33" s="48" t="str">
        <f>"34,1962"</f>
        <v>34,1962</v>
      </c>
      <c r="M33" s="43" t="s">
        <v>32</v>
      </c>
    </row>
    <row r="34" spans="1:13">
      <c r="A34" s="49" t="s">
        <v>306</v>
      </c>
      <c r="B34" s="49" t="s">
        <v>307</v>
      </c>
      <c r="C34" s="49" t="s">
        <v>308</v>
      </c>
      <c r="D34" s="50" t="str">
        <f>"0,6321"</f>
        <v>0,6321</v>
      </c>
      <c r="E34" s="49" t="s">
        <v>148</v>
      </c>
      <c r="F34" s="49" t="s">
        <v>23</v>
      </c>
      <c r="G34" s="52" t="s">
        <v>25</v>
      </c>
      <c r="H34" s="52" t="s">
        <v>51</v>
      </c>
      <c r="I34" s="52" t="s">
        <v>51</v>
      </c>
      <c r="J34" s="52"/>
      <c r="K34" s="53" t="str">
        <f>"0.00"</f>
        <v>0.00</v>
      </c>
      <c r="L34" s="54" t="str">
        <f>"0,0000"</f>
        <v>0,0000</v>
      </c>
      <c r="M34" s="49" t="s">
        <v>32</v>
      </c>
    </row>
    <row r="36" spans="1:13" ht="15">
      <c r="A36" s="35" t="s">
        <v>96</v>
      </c>
      <c r="B36" s="35"/>
      <c r="C36" s="35"/>
      <c r="D36" s="36"/>
      <c r="E36" s="35"/>
      <c r="F36" s="35"/>
      <c r="G36" s="35"/>
      <c r="H36" s="35"/>
      <c r="I36" s="35"/>
      <c r="J36" s="35"/>
    </row>
    <row r="37" spans="1:13">
      <c r="A37" s="37" t="s">
        <v>203</v>
      </c>
      <c r="B37" s="37" t="s">
        <v>204</v>
      </c>
      <c r="C37" s="37" t="s">
        <v>205</v>
      </c>
      <c r="D37" s="38" t="str">
        <f>"0,5816"</f>
        <v>0,5816</v>
      </c>
      <c r="E37" s="37" t="s">
        <v>178</v>
      </c>
      <c r="F37" s="37" t="s">
        <v>23</v>
      </c>
      <c r="G37" s="39" t="s">
        <v>30</v>
      </c>
      <c r="H37" s="39" t="s">
        <v>38</v>
      </c>
      <c r="I37" s="40" t="s">
        <v>39</v>
      </c>
      <c r="J37" s="40"/>
      <c r="K37" s="41" t="str">
        <f>"70,0"</f>
        <v>70,0</v>
      </c>
      <c r="L37" s="42" t="str">
        <f>"40,7085"</f>
        <v>40,7085</v>
      </c>
      <c r="M37" s="37" t="s">
        <v>32</v>
      </c>
    </row>
    <row r="38" spans="1:13">
      <c r="A38" s="43" t="s">
        <v>207</v>
      </c>
      <c r="B38" s="43" t="s">
        <v>208</v>
      </c>
      <c r="C38" s="43" t="s">
        <v>209</v>
      </c>
      <c r="D38" s="44" t="str">
        <f>"0,6100"</f>
        <v>0,6100</v>
      </c>
      <c r="E38" s="43" t="s">
        <v>178</v>
      </c>
      <c r="F38" s="43" t="s">
        <v>23</v>
      </c>
      <c r="G38" s="45" t="s">
        <v>25</v>
      </c>
      <c r="H38" s="45" t="s">
        <v>26</v>
      </c>
      <c r="I38" s="46" t="s">
        <v>51</v>
      </c>
      <c r="J38" s="46"/>
      <c r="K38" s="47" t="str">
        <f>"60,0"</f>
        <v>60,0</v>
      </c>
      <c r="L38" s="48" t="str">
        <f>"36,6000"</f>
        <v>36,6000</v>
      </c>
      <c r="M38" s="43" t="s">
        <v>32</v>
      </c>
    </row>
    <row r="39" spans="1:13">
      <c r="A39" s="43" t="s">
        <v>310</v>
      </c>
      <c r="B39" s="43" t="s">
        <v>311</v>
      </c>
      <c r="C39" s="43" t="s">
        <v>312</v>
      </c>
      <c r="D39" s="44" t="str">
        <f>"0,5813"</f>
        <v>0,5813</v>
      </c>
      <c r="E39" s="43" t="s">
        <v>164</v>
      </c>
      <c r="F39" s="43" t="s">
        <v>23</v>
      </c>
      <c r="G39" s="45" t="s">
        <v>25</v>
      </c>
      <c r="H39" s="46" t="s">
        <v>290</v>
      </c>
      <c r="I39" s="45" t="s">
        <v>290</v>
      </c>
      <c r="J39" s="46"/>
      <c r="K39" s="47" t="str">
        <f>"57,5"</f>
        <v>57,5</v>
      </c>
      <c r="L39" s="48" t="str">
        <f>"33,4248"</f>
        <v>33,4248</v>
      </c>
      <c r="M39" s="43" t="s">
        <v>32</v>
      </c>
    </row>
    <row r="40" spans="1:13">
      <c r="A40" s="49" t="s">
        <v>314</v>
      </c>
      <c r="B40" s="49" t="s">
        <v>315</v>
      </c>
      <c r="C40" s="49" t="s">
        <v>316</v>
      </c>
      <c r="D40" s="50" t="str">
        <f>"0,5891"</f>
        <v>0,5891</v>
      </c>
      <c r="E40" s="49" t="s">
        <v>164</v>
      </c>
      <c r="F40" s="49" t="s">
        <v>23</v>
      </c>
      <c r="G40" s="51" t="s">
        <v>24</v>
      </c>
      <c r="H40" s="51" t="s">
        <v>25</v>
      </c>
      <c r="I40" s="51" t="s">
        <v>26</v>
      </c>
      <c r="J40" s="52"/>
      <c r="K40" s="53" t="str">
        <f>"60,0"</f>
        <v>60,0</v>
      </c>
      <c r="L40" s="54" t="str">
        <f>"38,2444"</f>
        <v>38,2444</v>
      </c>
      <c r="M40" s="49" t="s">
        <v>170</v>
      </c>
    </row>
    <row r="42" spans="1:13" ht="15">
      <c r="A42" s="35" t="s">
        <v>149</v>
      </c>
      <c r="B42" s="35"/>
      <c r="C42" s="35"/>
      <c r="D42" s="36"/>
      <c r="E42" s="35"/>
      <c r="F42" s="35"/>
      <c r="G42" s="35"/>
      <c r="H42" s="35"/>
      <c r="I42" s="35"/>
      <c r="J42" s="35"/>
    </row>
    <row r="43" spans="1:13">
      <c r="A43" s="37" t="s">
        <v>318</v>
      </c>
      <c r="B43" s="37" t="s">
        <v>319</v>
      </c>
      <c r="C43" s="37" t="s">
        <v>320</v>
      </c>
      <c r="D43" s="38" t="str">
        <f>"0,5640"</f>
        <v>0,5640</v>
      </c>
      <c r="E43" s="37" t="s">
        <v>255</v>
      </c>
      <c r="F43" s="37" t="s">
        <v>23</v>
      </c>
      <c r="G43" s="39" t="s">
        <v>321</v>
      </c>
      <c r="H43" s="39" t="s">
        <v>295</v>
      </c>
      <c r="I43" s="39" t="s">
        <v>290</v>
      </c>
      <c r="J43" s="40"/>
      <c r="K43" s="41" t="str">
        <f>"57,5"</f>
        <v>57,5</v>
      </c>
      <c r="L43" s="42" t="str">
        <f>"32,4271"</f>
        <v>32,4271</v>
      </c>
      <c r="M43" s="37" t="s">
        <v>32</v>
      </c>
    </row>
    <row r="44" spans="1:13">
      <c r="A44" s="49" t="s">
        <v>322</v>
      </c>
      <c r="B44" s="49" t="s">
        <v>323</v>
      </c>
      <c r="C44" s="49" t="s">
        <v>324</v>
      </c>
      <c r="D44" s="50" t="str">
        <f>"0,5681"</f>
        <v>0,5681</v>
      </c>
      <c r="E44" s="49" t="s">
        <v>71</v>
      </c>
      <c r="F44" s="49" t="s">
        <v>23</v>
      </c>
      <c r="G44" s="52" t="s">
        <v>30</v>
      </c>
      <c r="H44" s="52" t="s">
        <v>30</v>
      </c>
      <c r="I44" s="52" t="s">
        <v>38</v>
      </c>
      <c r="J44" s="52"/>
      <c r="K44" s="53" t="str">
        <f>"0.00"</f>
        <v>0.00</v>
      </c>
      <c r="L44" s="54" t="str">
        <f>"0,0000"</f>
        <v>0,0000</v>
      </c>
      <c r="M44" s="49" t="s">
        <v>32</v>
      </c>
    </row>
    <row r="46" spans="1:13" ht="15">
      <c r="E46" s="55" t="s">
        <v>115</v>
      </c>
    </row>
    <row r="47" spans="1:13" ht="15">
      <c r="E47" s="55" t="s">
        <v>116</v>
      </c>
    </row>
    <row r="48" spans="1:13" ht="15">
      <c r="E48" s="55" t="s">
        <v>117</v>
      </c>
    </row>
    <row r="49" spans="1:5" ht="15">
      <c r="E49" s="55" t="s">
        <v>118</v>
      </c>
    </row>
    <row r="50" spans="1:5" ht="15">
      <c r="E50" s="55" t="s">
        <v>118</v>
      </c>
    </row>
    <row r="51" spans="1:5" ht="15">
      <c r="E51" s="55" t="s">
        <v>119</v>
      </c>
    </row>
    <row r="52" spans="1:5" ht="15">
      <c r="E52" s="55"/>
    </row>
    <row r="54" spans="1:5" ht="18">
      <c r="A54" s="56" t="s">
        <v>120</v>
      </c>
      <c r="B54" s="56"/>
    </row>
    <row r="55" spans="1:5" ht="15">
      <c r="A55" s="57" t="s">
        <v>121</v>
      </c>
      <c r="B55" s="57"/>
    </row>
    <row r="56" spans="1:5" ht="14.25">
      <c r="A56" s="59"/>
      <c r="B56" s="60" t="s">
        <v>325</v>
      </c>
    </row>
    <row r="57" spans="1:5" ht="15">
      <c r="A57" s="61" t="s">
        <v>123</v>
      </c>
      <c r="B57" s="61" t="s">
        <v>124</v>
      </c>
      <c r="C57" s="61" t="s">
        <v>125</v>
      </c>
      <c r="D57" s="62" t="s">
        <v>155</v>
      </c>
      <c r="E57" s="61" t="s">
        <v>127</v>
      </c>
    </row>
    <row r="58" spans="1:5">
      <c r="A58" s="58" t="s">
        <v>264</v>
      </c>
      <c r="B58" s="4" t="s">
        <v>222</v>
      </c>
      <c r="C58" s="4" t="s">
        <v>171</v>
      </c>
      <c r="D58" s="63">
        <v>35</v>
      </c>
      <c r="E58" s="64">
        <v>34.611500203609502</v>
      </c>
    </row>
    <row r="60" spans="1:5" ht="14.25">
      <c r="A60" s="59"/>
      <c r="B60" s="60" t="s">
        <v>130</v>
      </c>
    </row>
    <row r="61" spans="1:5" ht="15">
      <c r="A61" s="61" t="s">
        <v>123</v>
      </c>
      <c r="B61" s="61" t="s">
        <v>124</v>
      </c>
      <c r="C61" s="61" t="s">
        <v>125</v>
      </c>
      <c r="D61" s="62" t="s">
        <v>155</v>
      </c>
      <c r="E61" s="61" t="s">
        <v>127</v>
      </c>
    </row>
    <row r="62" spans="1:5">
      <c r="A62" s="58" t="s">
        <v>174</v>
      </c>
      <c r="B62" s="4" t="s">
        <v>130</v>
      </c>
      <c r="C62" s="4" t="s">
        <v>220</v>
      </c>
      <c r="D62" s="63">
        <v>27.5</v>
      </c>
      <c r="E62" s="64">
        <v>25.207874923944502</v>
      </c>
    </row>
    <row r="63" spans="1:5">
      <c r="A63" s="58" t="s">
        <v>278</v>
      </c>
      <c r="B63" s="4" t="s">
        <v>130</v>
      </c>
      <c r="C63" s="4" t="s">
        <v>326</v>
      </c>
      <c r="D63" s="63">
        <v>25</v>
      </c>
      <c r="E63" s="64">
        <v>17.9749995470047</v>
      </c>
    </row>
    <row r="64" spans="1:5">
      <c r="A64" s="58" t="s">
        <v>270</v>
      </c>
      <c r="B64" s="4" t="s">
        <v>130</v>
      </c>
      <c r="C64" s="4" t="s">
        <v>134</v>
      </c>
      <c r="D64" s="63">
        <v>20</v>
      </c>
      <c r="E64" s="64">
        <v>15.9730005264282</v>
      </c>
    </row>
    <row r="67" spans="1:5" ht="15">
      <c r="A67" s="57" t="s">
        <v>132</v>
      </c>
      <c r="B67" s="57"/>
    </row>
    <row r="68" spans="1:5" ht="14.25">
      <c r="A68" s="59"/>
      <c r="B68" s="60" t="s">
        <v>133</v>
      </c>
    </row>
    <row r="69" spans="1:5" ht="15">
      <c r="A69" s="61" t="s">
        <v>123</v>
      </c>
      <c r="B69" s="61" t="s">
        <v>124</v>
      </c>
      <c r="C69" s="61" t="s">
        <v>125</v>
      </c>
      <c r="D69" s="62" t="s">
        <v>155</v>
      </c>
      <c r="E69" s="61" t="s">
        <v>127</v>
      </c>
    </row>
    <row r="70" spans="1:5">
      <c r="A70" s="58" t="s">
        <v>291</v>
      </c>
      <c r="B70" s="4" t="s">
        <v>230</v>
      </c>
      <c r="C70" s="4" t="s">
        <v>134</v>
      </c>
      <c r="D70" s="63">
        <v>52.5</v>
      </c>
      <c r="E70" s="64">
        <v>35.1408764719963</v>
      </c>
    </row>
    <row r="71" spans="1:5">
      <c r="A71" s="58" t="s">
        <v>282</v>
      </c>
      <c r="B71" s="4" t="s">
        <v>136</v>
      </c>
      <c r="C71" s="4" t="s">
        <v>220</v>
      </c>
      <c r="D71" s="63">
        <v>45</v>
      </c>
      <c r="E71" s="64">
        <v>33.677998781204202</v>
      </c>
    </row>
    <row r="73" spans="1:5" ht="14.25">
      <c r="A73" s="59"/>
      <c r="B73" s="60" t="s">
        <v>221</v>
      </c>
    </row>
    <row r="74" spans="1:5" ht="15">
      <c r="A74" s="61" t="s">
        <v>123</v>
      </c>
      <c r="B74" s="61" t="s">
        <v>124</v>
      </c>
      <c r="C74" s="61" t="s">
        <v>125</v>
      </c>
      <c r="D74" s="62" t="s">
        <v>155</v>
      </c>
      <c r="E74" s="61" t="s">
        <v>127</v>
      </c>
    </row>
    <row r="75" spans="1:5">
      <c r="A75" s="58" t="s">
        <v>179</v>
      </c>
      <c r="B75" s="4" t="s">
        <v>222</v>
      </c>
      <c r="C75" s="4" t="s">
        <v>134</v>
      </c>
      <c r="D75" s="63">
        <v>55</v>
      </c>
      <c r="E75" s="64">
        <v>35.5080011487007</v>
      </c>
    </row>
    <row r="77" spans="1:5" ht="14.25">
      <c r="A77" s="59"/>
      <c r="B77" s="60" t="s">
        <v>130</v>
      </c>
    </row>
    <row r="78" spans="1:5" ht="15">
      <c r="A78" s="61" t="s">
        <v>123</v>
      </c>
      <c r="B78" s="61" t="s">
        <v>124</v>
      </c>
      <c r="C78" s="61" t="s">
        <v>125</v>
      </c>
      <c r="D78" s="62" t="s">
        <v>155</v>
      </c>
      <c r="E78" s="61" t="s">
        <v>127</v>
      </c>
    </row>
    <row r="79" spans="1:5">
      <c r="A79" s="58" t="s">
        <v>183</v>
      </c>
      <c r="B79" s="4" t="s">
        <v>130</v>
      </c>
      <c r="C79" s="4" t="s">
        <v>134</v>
      </c>
      <c r="D79" s="63">
        <v>67.5</v>
      </c>
      <c r="E79" s="64">
        <v>43.578001409769101</v>
      </c>
    </row>
    <row r="80" spans="1:5">
      <c r="A80" s="58" t="s">
        <v>202</v>
      </c>
      <c r="B80" s="4" t="s">
        <v>130</v>
      </c>
      <c r="C80" s="4" t="s">
        <v>138</v>
      </c>
      <c r="D80" s="63">
        <v>70</v>
      </c>
      <c r="E80" s="64">
        <v>40.708500146865802</v>
      </c>
    </row>
    <row r="81" spans="1:5">
      <c r="A81" s="58" t="s">
        <v>296</v>
      </c>
      <c r="B81" s="4" t="s">
        <v>130</v>
      </c>
      <c r="C81" s="4" t="s">
        <v>223</v>
      </c>
      <c r="D81" s="63">
        <v>65</v>
      </c>
      <c r="E81" s="64">
        <v>40.631501078605702</v>
      </c>
    </row>
    <row r="82" spans="1:5">
      <c r="A82" s="58" t="s">
        <v>286</v>
      </c>
      <c r="B82" s="4" t="s">
        <v>130</v>
      </c>
      <c r="C82" s="4" t="s">
        <v>135</v>
      </c>
      <c r="D82" s="63">
        <v>57.5</v>
      </c>
      <c r="E82" s="64">
        <v>39.8273761570454</v>
      </c>
    </row>
    <row r="83" spans="1:5">
      <c r="A83" s="58" t="s">
        <v>206</v>
      </c>
      <c r="B83" s="4" t="s">
        <v>130</v>
      </c>
      <c r="C83" s="4" t="s">
        <v>138</v>
      </c>
      <c r="D83" s="63">
        <v>60</v>
      </c>
      <c r="E83" s="64">
        <v>36.600000858306899</v>
      </c>
    </row>
    <row r="84" spans="1:5">
      <c r="A84" s="58" t="s">
        <v>186</v>
      </c>
      <c r="B84" s="4" t="s">
        <v>130</v>
      </c>
      <c r="C84" s="4" t="s">
        <v>134</v>
      </c>
      <c r="D84" s="63">
        <v>55</v>
      </c>
      <c r="E84" s="64">
        <v>35.708748400211299</v>
      </c>
    </row>
    <row r="85" spans="1:5">
      <c r="A85" s="58" t="s">
        <v>301</v>
      </c>
      <c r="B85" s="4" t="s">
        <v>130</v>
      </c>
      <c r="C85" s="4" t="s">
        <v>223</v>
      </c>
      <c r="D85" s="63">
        <v>55</v>
      </c>
      <c r="E85" s="64">
        <v>34.311749339103699</v>
      </c>
    </row>
    <row r="86" spans="1:5">
      <c r="A86" s="58" t="s">
        <v>198</v>
      </c>
      <c r="B86" s="4" t="s">
        <v>130</v>
      </c>
      <c r="C86" s="4" t="s">
        <v>223</v>
      </c>
      <c r="D86" s="63">
        <v>55</v>
      </c>
      <c r="E86" s="64">
        <v>34.196249842643702</v>
      </c>
    </row>
    <row r="87" spans="1:5">
      <c r="A87" s="58" t="s">
        <v>309</v>
      </c>
      <c r="B87" s="4" t="s">
        <v>130</v>
      </c>
      <c r="C87" s="4" t="s">
        <v>138</v>
      </c>
      <c r="D87" s="63">
        <v>57.5</v>
      </c>
      <c r="E87" s="64">
        <v>33.424751162528999</v>
      </c>
    </row>
    <row r="88" spans="1:5">
      <c r="A88" s="58" t="s">
        <v>317</v>
      </c>
      <c r="B88" s="4" t="s">
        <v>130</v>
      </c>
      <c r="C88" s="4" t="s">
        <v>156</v>
      </c>
      <c r="D88" s="63">
        <v>57.5</v>
      </c>
      <c r="E88" s="64">
        <v>32.4271251261234</v>
      </c>
    </row>
    <row r="90" spans="1:5" ht="14.25">
      <c r="A90" s="59"/>
      <c r="B90" s="60" t="s">
        <v>140</v>
      </c>
    </row>
    <row r="91" spans="1:5" ht="15">
      <c r="A91" s="61" t="s">
        <v>123</v>
      </c>
      <c r="B91" s="61" t="s">
        <v>124</v>
      </c>
      <c r="C91" s="61" t="s">
        <v>125</v>
      </c>
      <c r="D91" s="62" t="s">
        <v>155</v>
      </c>
      <c r="E91" s="61" t="s">
        <v>127</v>
      </c>
    </row>
    <row r="92" spans="1:5">
      <c r="A92" s="58" t="s">
        <v>189</v>
      </c>
      <c r="B92" s="4" t="s">
        <v>224</v>
      </c>
      <c r="C92" s="4" t="s">
        <v>134</v>
      </c>
      <c r="D92" s="63">
        <v>57.5</v>
      </c>
      <c r="E92" s="64">
        <v>39.673274045437601</v>
      </c>
    </row>
    <row r="93" spans="1:5">
      <c r="A93" s="58" t="s">
        <v>313</v>
      </c>
      <c r="B93" s="4" t="s">
        <v>224</v>
      </c>
      <c r="C93" s="4" t="s">
        <v>138</v>
      </c>
      <c r="D93" s="63">
        <v>60</v>
      </c>
      <c r="E93" s="64">
        <v>38.244372210502597</v>
      </c>
    </row>
  </sheetData>
  <mergeCells count="21">
    <mergeCell ref="A30:J30"/>
    <mergeCell ref="A36:J36"/>
    <mergeCell ref="A42:J42"/>
    <mergeCell ref="A8:J8"/>
    <mergeCell ref="A11:J11"/>
    <mergeCell ref="A14:J14"/>
    <mergeCell ref="A17:J17"/>
    <mergeCell ref="A20:J20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237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16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173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175</v>
      </c>
      <c r="B6" s="29" t="s">
        <v>176</v>
      </c>
      <c r="C6" s="29" t="s">
        <v>177</v>
      </c>
      <c r="D6" s="30" t="str">
        <f>"0,9166"</f>
        <v>0,9166</v>
      </c>
      <c r="E6" s="29" t="s">
        <v>178</v>
      </c>
      <c r="F6" s="29" t="s">
        <v>23</v>
      </c>
      <c r="G6" s="31" t="s">
        <v>44</v>
      </c>
      <c r="H6" s="31" t="s">
        <v>114</v>
      </c>
      <c r="I6" s="31" t="s">
        <v>94</v>
      </c>
      <c r="J6" s="32"/>
      <c r="K6" s="33" t="str">
        <f>"120,0"</f>
        <v>120,0</v>
      </c>
      <c r="L6" s="34" t="str">
        <f>"109,9980"</f>
        <v>109,9980</v>
      </c>
      <c r="M6" s="29" t="s">
        <v>32</v>
      </c>
    </row>
    <row r="8" spans="1:13" ht="15">
      <c r="A8" s="35" t="s">
        <v>54</v>
      </c>
      <c r="B8" s="35"/>
      <c r="C8" s="35"/>
      <c r="D8" s="36"/>
      <c r="E8" s="35"/>
      <c r="F8" s="35"/>
      <c r="G8" s="35"/>
      <c r="H8" s="35"/>
      <c r="I8" s="35"/>
      <c r="J8" s="35"/>
    </row>
    <row r="9" spans="1:13">
      <c r="A9" s="37" t="s">
        <v>239</v>
      </c>
      <c r="B9" s="37" t="s">
        <v>240</v>
      </c>
      <c r="C9" s="37" t="s">
        <v>241</v>
      </c>
      <c r="D9" s="38" t="str">
        <f>"0,6885"</f>
        <v>0,6885</v>
      </c>
      <c r="E9" s="37" t="s">
        <v>148</v>
      </c>
      <c r="F9" s="37" t="s">
        <v>23</v>
      </c>
      <c r="G9" s="39" t="s">
        <v>93</v>
      </c>
      <c r="H9" s="39" t="s">
        <v>72</v>
      </c>
      <c r="I9" s="39" t="s">
        <v>102</v>
      </c>
      <c r="J9" s="40"/>
      <c r="K9" s="41" t="str">
        <f>"180,0"</f>
        <v>180,0</v>
      </c>
      <c r="L9" s="42" t="str">
        <f>"123,9390"</f>
        <v>123,9390</v>
      </c>
      <c r="M9" s="37" t="s">
        <v>32</v>
      </c>
    </row>
    <row r="10" spans="1:13">
      <c r="A10" s="49" t="s">
        <v>243</v>
      </c>
      <c r="B10" s="49" t="s">
        <v>244</v>
      </c>
      <c r="C10" s="49" t="s">
        <v>245</v>
      </c>
      <c r="D10" s="50" t="str">
        <f>"0,7056"</f>
        <v>0,7056</v>
      </c>
      <c r="E10" s="49" t="s">
        <v>71</v>
      </c>
      <c r="F10" s="49" t="s">
        <v>246</v>
      </c>
      <c r="G10" s="51" t="s">
        <v>102</v>
      </c>
      <c r="H10" s="52" t="s">
        <v>247</v>
      </c>
      <c r="I10" s="52"/>
      <c r="J10" s="52"/>
      <c r="K10" s="53" t="str">
        <f>"180,0"</f>
        <v>180,0</v>
      </c>
      <c r="L10" s="54" t="str">
        <f>"127,0170"</f>
        <v>127,0170</v>
      </c>
      <c r="M10" s="49" t="s">
        <v>32</v>
      </c>
    </row>
    <row r="12" spans="1:13" ht="15">
      <c r="A12" s="35" t="s">
        <v>66</v>
      </c>
      <c r="B12" s="35"/>
      <c r="C12" s="35"/>
      <c r="D12" s="36"/>
      <c r="E12" s="35"/>
      <c r="F12" s="35"/>
      <c r="G12" s="35"/>
      <c r="H12" s="35"/>
      <c r="I12" s="35"/>
      <c r="J12" s="35"/>
    </row>
    <row r="13" spans="1:13">
      <c r="A13" s="37" t="s">
        <v>180</v>
      </c>
      <c r="B13" s="37" t="s">
        <v>181</v>
      </c>
      <c r="C13" s="37" t="s">
        <v>248</v>
      </c>
      <c r="D13" s="38" t="str">
        <f>"0,6446"</f>
        <v>0,6446</v>
      </c>
      <c r="E13" s="37" t="s">
        <v>178</v>
      </c>
      <c r="F13" s="37" t="s">
        <v>23</v>
      </c>
      <c r="G13" s="39" t="s">
        <v>65</v>
      </c>
      <c r="H13" s="39" t="s">
        <v>72</v>
      </c>
      <c r="I13" s="39" t="s">
        <v>247</v>
      </c>
      <c r="J13" s="40"/>
      <c r="K13" s="41" t="str">
        <f>"185,0"</f>
        <v>185,0</v>
      </c>
      <c r="L13" s="42" t="str">
        <f>"119,2510"</f>
        <v>119,2510</v>
      </c>
      <c r="M13" s="37" t="s">
        <v>32</v>
      </c>
    </row>
    <row r="14" spans="1:13">
      <c r="A14" s="49" t="s">
        <v>249</v>
      </c>
      <c r="B14" s="49" t="s">
        <v>188</v>
      </c>
      <c r="C14" s="49" t="s">
        <v>70</v>
      </c>
      <c r="D14" s="50" t="str">
        <f>"0,6492"</f>
        <v>0,6492</v>
      </c>
      <c r="E14" s="49" t="s">
        <v>178</v>
      </c>
      <c r="F14" s="49" t="s">
        <v>23</v>
      </c>
      <c r="G14" s="51" t="s">
        <v>93</v>
      </c>
      <c r="H14" s="51" t="s">
        <v>65</v>
      </c>
      <c r="I14" s="51" t="s">
        <v>72</v>
      </c>
      <c r="J14" s="52"/>
      <c r="K14" s="53" t="str">
        <f>"160,0"</f>
        <v>160,0</v>
      </c>
      <c r="L14" s="54" t="str">
        <f>"103,8800"</f>
        <v>103,8800</v>
      </c>
      <c r="M14" s="49" t="s">
        <v>32</v>
      </c>
    </row>
    <row r="16" spans="1:13" ht="15">
      <c r="A16" s="35" t="s">
        <v>193</v>
      </c>
      <c r="B16" s="35"/>
      <c r="C16" s="35"/>
      <c r="D16" s="36"/>
      <c r="E16" s="35"/>
      <c r="F16" s="35"/>
      <c r="G16" s="35"/>
      <c r="H16" s="35"/>
      <c r="I16" s="35"/>
      <c r="J16" s="35"/>
    </row>
    <row r="17" spans="1:13">
      <c r="A17" s="29" t="s">
        <v>250</v>
      </c>
      <c r="B17" s="29" t="s">
        <v>200</v>
      </c>
      <c r="C17" s="29" t="s">
        <v>201</v>
      </c>
      <c r="D17" s="30" t="str">
        <f>"0,6217"</f>
        <v>0,6217</v>
      </c>
      <c r="E17" s="29" t="s">
        <v>178</v>
      </c>
      <c r="F17" s="29" t="s">
        <v>23</v>
      </c>
      <c r="G17" s="31" t="s">
        <v>247</v>
      </c>
      <c r="H17" s="32" t="s">
        <v>82</v>
      </c>
      <c r="I17" s="32" t="s">
        <v>82</v>
      </c>
      <c r="J17" s="32"/>
      <c r="K17" s="33" t="str">
        <f>"185,0"</f>
        <v>185,0</v>
      </c>
      <c r="L17" s="34" t="str">
        <f>"115,0237"</f>
        <v>115,0237</v>
      </c>
      <c r="M17" s="29" t="s">
        <v>32</v>
      </c>
    </row>
    <row r="19" spans="1:13" ht="15">
      <c r="A19" s="35" t="s">
        <v>96</v>
      </c>
      <c r="B19" s="35"/>
      <c r="C19" s="35"/>
      <c r="D19" s="36"/>
      <c r="E19" s="35"/>
      <c r="F19" s="35"/>
      <c r="G19" s="35"/>
      <c r="H19" s="35"/>
      <c r="I19" s="35"/>
      <c r="J19" s="35"/>
    </row>
    <row r="20" spans="1:13">
      <c r="A20" s="37" t="s">
        <v>252</v>
      </c>
      <c r="B20" s="37" t="s">
        <v>253</v>
      </c>
      <c r="C20" s="37" t="s">
        <v>254</v>
      </c>
      <c r="D20" s="38" t="str">
        <f>"0,6029"</f>
        <v>0,6029</v>
      </c>
      <c r="E20" s="37" t="s">
        <v>255</v>
      </c>
      <c r="F20" s="37" t="s">
        <v>23</v>
      </c>
      <c r="G20" s="40" t="s">
        <v>92</v>
      </c>
      <c r="H20" s="39" t="s">
        <v>93</v>
      </c>
      <c r="I20" s="39" t="s">
        <v>85</v>
      </c>
      <c r="J20" s="40"/>
      <c r="K20" s="41" t="str">
        <f>"155,0"</f>
        <v>155,0</v>
      </c>
      <c r="L20" s="42" t="str">
        <f>"93,4572"</f>
        <v>93,4572</v>
      </c>
      <c r="M20" s="37" t="s">
        <v>32</v>
      </c>
    </row>
    <row r="21" spans="1:13">
      <c r="A21" s="49" t="s">
        <v>203</v>
      </c>
      <c r="B21" s="49" t="s">
        <v>204</v>
      </c>
      <c r="C21" s="49" t="s">
        <v>205</v>
      </c>
      <c r="D21" s="50" t="str">
        <f>"0,5816"</f>
        <v>0,5816</v>
      </c>
      <c r="E21" s="49" t="s">
        <v>178</v>
      </c>
      <c r="F21" s="49" t="s">
        <v>23</v>
      </c>
      <c r="G21" s="51" t="s">
        <v>102</v>
      </c>
      <c r="H21" s="51" t="s">
        <v>112</v>
      </c>
      <c r="I21" s="52" t="s">
        <v>83</v>
      </c>
      <c r="J21" s="52"/>
      <c r="K21" s="53" t="str">
        <f>"195,0"</f>
        <v>195,0</v>
      </c>
      <c r="L21" s="54" t="str">
        <f>"113,4023"</f>
        <v>113,4023</v>
      </c>
      <c r="M21" s="49" t="s">
        <v>32</v>
      </c>
    </row>
    <row r="23" spans="1:13" ht="15">
      <c r="A23" s="35" t="s">
        <v>149</v>
      </c>
      <c r="B23" s="35"/>
      <c r="C23" s="35"/>
      <c r="D23" s="36"/>
      <c r="E23" s="35"/>
      <c r="F23" s="35"/>
      <c r="G23" s="35"/>
      <c r="H23" s="35"/>
      <c r="I23" s="35"/>
      <c r="J23" s="35"/>
    </row>
    <row r="24" spans="1:13">
      <c r="A24" s="29" t="s">
        <v>257</v>
      </c>
      <c r="B24" s="29" t="s">
        <v>258</v>
      </c>
      <c r="C24" s="29" t="s">
        <v>259</v>
      </c>
      <c r="D24" s="30" t="str">
        <f>"0,5802"</f>
        <v>0,5802</v>
      </c>
      <c r="E24" s="29" t="s">
        <v>148</v>
      </c>
      <c r="F24" s="29" t="s">
        <v>23</v>
      </c>
      <c r="G24" s="31" t="s">
        <v>260</v>
      </c>
      <c r="H24" s="31" t="s">
        <v>86</v>
      </c>
      <c r="I24" s="31" t="s">
        <v>261</v>
      </c>
      <c r="J24" s="32"/>
      <c r="K24" s="33" t="str">
        <f>"230,0"</f>
        <v>230,0</v>
      </c>
      <c r="L24" s="34" t="str">
        <f>"133,4345"</f>
        <v>133,4345</v>
      </c>
      <c r="M24" s="29" t="s">
        <v>32</v>
      </c>
    </row>
    <row r="26" spans="1:13" ht="15">
      <c r="E26" s="55" t="s">
        <v>115</v>
      </c>
    </row>
    <row r="27" spans="1:13" ht="15">
      <c r="E27" s="55" t="s">
        <v>116</v>
      </c>
    </row>
    <row r="28" spans="1:13" ht="15">
      <c r="E28" s="55" t="s">
        <v>117</v>
      </c>
    </row>
    <row r="29" spans="1:13" ht="15">
      <c r="E29" s="55" t="s">
        <v>118</v>
      </c>
    </row>
    <row r="30" spans="1:13" ht="15">
      <c r="E30" s="55" t="s">
        <v>118</v>
      </c>
    </row>
    <row r="31" spans="1:13" ht="15">
      <c r="E31" s="55" t="s">
        <v>119</v>
      </c>
    </row>
    <row r="32" spans="1:13" ht="15">
      <c r="E32" s="55"/>
    </row>
    <row r="34" spans="1:5" ht="18">
      <c r="A34" s="56" t="s">
        <v>120</v>
      </c>
      <c r="B34" s="56"/>
    </row>
    <row r="35" spans="1:5" ht="15">
      <c r="A35" s="57" t="s">
        <v>121</v>
      </c>
      <c r="B35" s="57"/>
    </row>
    <row r="36" spans="1:5" ht="14.25">
      <c r="A36" s="59"/>
      <c r="B36" s="60" t="s">
        <v>130</v>
      </c>
    </row>
    <row r="37" spans="1:5" ht="15">
      <c r="A37" s="61" t="s">
        <v>123</v>
      </c>
      <c r="B37" s="61" t="s">
        <v>124</v>
      </c>
      <c r="C37" s="61" t="s">
        <v>125</v>
      </c>
      <c r="D37" s="62" t="s">
        <v>155</v>
      </c>
      <c r="E37" s="61" t="s">
        <v>127</v>
      </c>
    </row>
    <row r="38" spans="1:5">
      <c r="A38" s="58" t="s">
        <v>174</v>
      </c>
      <c r="B38" s="4" t="s">
        <v>130</v>
      </c>
      <c r="C38" s="4" t="s">
        <v>220</v>
      </c>
      <c r="D38" s="63">
        <v>120</v>
      </c>
      <c r="E38" s="64">
        <v>109.997999668121</v>
      </c>
    </row>
    <row r="41" spans="1:5" ht="15">
      <c r="A41" s="57" t="s">
        <v>132</v>
      </c>
      <c r="B41" s="57"/>
    </row>
    <row r="42" spans="1:5" ht="14.25">
      <c r="A42" s="59"/>
      <c r="B42" s="60" t="s">
        <v>133</v>
      </c>
    </row>
    <row r="43" spans="1:5" ht="15">
      <c r="A43" s="61" t="s">
        <v>123</v>
      </c>
      <c r="B43" s="61" t="s">
        <v>124</v>
      </c>
      <c r="C43" s="61" t="s">
        <v>125</v>
      </c>
      <c r="D43" s="62" t="s">
        <v>155</v>
      </c>
      <c r="E43" s="61" t="s">
        <v>127</v>
      </c>
    </row>
    <row r="44" spans="1:5">
      <c r="A44" s="58" t="s">
        <v>251</v>
      </c>
      <c r="B44" s="4" t="s">
        <v>230</v>
      </c>
      <c r="C44" s="4" t="s">
        <v>138</v>
      </c>
      <c r="D44" s="63">
        <v>155</v>
      </c>
      <c r="E44" s="64">
        <v>93.457246422767597</v>
      </c>
    </row>
    <row r="46" spans="1:5" ht="14.25">
      <c r="A46" s="59"/>
      <c r="B46" s="60" t="s">
        <v>221</v>
      </c>
    </row>
    <row r="47" spans="1:5" ht="15">
      <c r="A47" s="61" t="s">
        <v>123</v>
      </c>
      <c r="B47" s="61" t="s">
        <v>124</v>
      </c>
      <c r="C47" s="61" t="s">
        <v>125</v>
      </c>
      <c r="D47" s="62" t="s">
        <v>155</v>
      </c>
      <c r="E47" s="61" t="s">
        <v>127</v>
      </c>
    </row>
    <row r="48" spans="1:5">
      <c r="A48" s="58" t="s">
        <v>238</v>
      </c>
      <c r="B48" s="4" t="s">
        <v>222</v>
      </c>
      <c r="C48" s="4" t="s">
        <v>135</v>
      </c>
      <c r="D48" s="63">
        <v>180</v>
      </c>
      <c r="E48" s="64">
        <v>123.93899917602501</v>
      </c>
    </row>
    <row r="49" spans="1:5">
      <c r="A49" s="58" t="s">
        <v>179</v>
      </c>
      <c r="B49" s="4" t="s">
        <v>222</v>
      </c>
      <c r="C49" s="4" t="s">
        <v>134</v>
      </c>
      <c r="D49" s="63">
        <v>185</v>
      </c>
      <c r="E49" s="64">
        <v>119.250995218754</v>
      </c>
    </row>
    <row r="51" spans="1:5" ht="14.25">
      <c r="A51" s="59"/>
      <c r="B51" s="60" t="s">
        <v>130</v>
      </c>
    </row>
    <row r="52" spans="1:5" ht="15">
      <c r="A52" s="61" t="s">
        <v>123</v>
      </c>
      <c r="B52" s="61" t="s">
        <v>124</v>
      </c>
      <c r="C52" s="61" t="s">
        <v>125</v>
      </c>
      <c r="D52" s="62" t="s">
        <v>155</v>
      </c>
      <c r="E52" s="61" t="s">
        <v>127</v>
      </c>
    </row>
    <row r="53" spans="1:5">
      <c r="A53" s="58" t="s">
        <v>256</v>
      </c>
      <c r="B53" s="4" t="s">
        <v>130</v>
      </c>
      <c r="C53" s="4" t="s">
        <v>156</v>
      </c>
      <c r="D53" s="63">
        <v>230</v>
      </c>
      <c r="E53" s="64">
        <v>133.434501886368</v>
      </c>
    </row>
    <row r="54" spans="1:5">
      <c r="A54" s="58" t="s">
        <v>242</v>
      </c>
      <c r="B54" s="4" t="s">
        <v>130</v>
      </c>
      <c r="C54" s="4" t="s">
        <v>135</v>
      </c>
      <c r="D54" s="63">
        <v>180</v>
      </c>
      <c r="E54" s="64">
        <v>127.016994953156</v>
      </c>
    </row>
    <row r="55" spans="1:5">
      <c r="A55" s="58" t="s">
        <v>198</v>
      </c>
      <c r="B55" s="4" t="s">
        <v>130</v>
      </c>
      <c r="C55" s="4" t="s">
        <v>223</v>
      </c>
      <c r="D55" s="63">
        <v>185</v>
      </c>
      <c r="E55" s="64">
        <v>115.023749470711</v>
      </c>
    </row>
    <row r="56" spans="1:5">
      <c r="A56" s="58" t="s">
        <v>202</v>
      </c>
      <c r="B56" s="4" t="s">
        <v>130</v>
      </c>
      <c r="C56" s="4" t="s">
        <v>138</v>
      </c>
      <c r="D56" s="63">
        <v>195</v>
      </c>
      <c r="E56" s="64">
        <v>113.402250409126</v>
      </c>
    </row>
    <row r="57" spans="1:5">
      <c r="A57" s="58" t="s">
        <v>186</v>
      </c>
      <c r="B57" s="4" t="s">
        <v>130</v>
      </c>
      <c r="C57" s="4" t="s">
        <v>134</v>
      </c>
      <c r="D57" s="63">
        <v>160</v>
      </c>
      <c r="E57" s="64">
        <v>103.87999534606899</v>
      </c>
    </row>
  </sheetData>
  <mergeCells count="17">
    <mergeCell ref="A8:J8"/>
    <mergeCell ref="A12:J12"/>
    <mergeCell ref="A16:J16"/>
    <mergeCell ref="A19:J19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231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96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233</v>
      </c>
      <c r="B6" s="29" t="s">
        <v>234</v>
      </c>
      <c r="C6" s="29" t="s">
        <v>100</v>
      </c>
      <c r="D6" s="30" t="str">
        <f>"0,5823"</f>
        <v>0,5823</v>
      </c>
      <c r="E6" s="29" t="s">
        <v>148</v>
      </c>
      <c r="F6" s="29" t="s">
        <v>23</v>
      </c>
      <c r="G6" s="31" t="s">
        <v>82</v>
      </c>
      <c r="H6" s="31" t="s">
        <v>84</v>
      </c>
      <c r="I6" s="32" t="s">
        <v>235</v>
      </c>
      <c r="J6" s="32"/>
      <c r="K6" s="33" t="str">
        <f>"220,0"</f>
        <v>220,0</v>
      </c>
      <c r="L6" s="34" t="str">
        <f>"128,1060"</f>
        <v>128,1060</v>
      </c>
      <c r="M6" s="29" t="s">
        <v>236</v>
      </c>
    </row>
    <row r="8" spans="1:13" ht="15">
      <c r="E8" s="55" t="s">
        <v>115</v>
      </c>
    </row>
    <row r="9" spans="1:13" ht="15">
      <c r="E9" s="55" t="s">
        <v>116</v>
      </c>
    </row>
    <row r="10" spans="1:13" ht="15">
      <c r="E10" s="55" t="s">
        <v>117</v>
      </c>
    </row>
    <row r="11" spans="1:13" ht="15">
      <c r="E11" s="55" t="s">
        <v>118</v>
      </c>
    </row>
    <row r="12" spans="1:13" ht="15">
      <c r="E12" s="55" t="s">
        <v>118</v>
      </c>
    </row>
    <row r="13" spans="1:13" ht="15">
      <c r="E13" s="55" t="s">
        <v>119</v>
      </c>
    </row>
    <row r="14" spans="1:13" ht="15">
      <c r="E14" s="55"/>
    </row>
    <row r="16" spans="1:13" ht="18">
      <c r="A16" s="56" t="s">
        <v>120</v>
      </c>
      <c r="B16" s="56"/>
    </row>
    <row r="17" spans="1:5" ht="15">
      <c r="A17" s="57" t="s">
        <v>132</v>
      </c>
      <c r="B17" s="57"/>
    </row>
    <row r="18" spans="1:5" ht="14.25">
      <c r="A18" s="59"/>
      <c r="B18" s="60" t="s">
        <v>130</v>
      </c>
    </row>
    <row r="19" spans="1:5" ht="15">
      <c r="A19" s="61" t="s">
        <v>123</v>
      </c>
      <c r="B19" s="61" t="s">
        <v>124</v>
      </c>
      <c r="C19" s="61" t="s">
        <v>125</v>
      </c>
      <c r="D19" s="62" t="s">
        <v>155</v>
      </c>
      <c r="E19" s="61" t="s">
        <v>127</v>
      </c>
    </row>
    <row r="20" spans="1:5">
      <c r="A20" s="58" t="s">
        <v>232</v>
      </c>
      <c r="B20" s="4" t="s">
        <v>130</v>
      </c>
      <c r="C20" s="4" t="s">
        <v>138</v>
      </c>
      <c r="D20" s="63">
        <v>220</v>
      </c>
      <c r="E20" s="64">
        <v>128.10600161552401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225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193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227</v>
      </c>
      <c r="B6" s="29" t="s">
        <v>228</v>
      </c>
      <c r="C6" s="29" t="s">
        <v>229</v>
      </c>
      <c r="D6" s="30" t="str">
        <f>"0,6141"</f>
        <v>0,6141</v>
      </c>
      <c r="E6" s="29" t="s">
        <v>71</v>
      </c>
      <c r="F6" s="29" t="s">
        <v>23</v>
      </c>
      <c r="G6" s="31" t="s">
        <v>85</v>
      </c>
      <c r="H6" s="31" t="s">
        <v>101</v>
      </c>
      <c r="I6" s="32" t="s">
        <v>73</v>
      </c>
      <c r="J6" s="32"/>
      <c r="K6" s="33" t="str">
        <f>"165,0"</f>
        <v>165,0</v>
      </c>
      <c r="L6" s="34" t="str">
        <f>"101,3347"</f>
        <v>101,3347</v>
      </c>
      <c r="M6" s="29" t="s">
        <v>32</v>
      </c>
    </row>
    <row r="8" spans="1:13" ht="15">
      <c r="E8" s="55" t="s">
        <v>115</v>
      </c>
    </row>
    <row r="9" spans="1:13" ht="15">
      <c r="E9" s="55" t="s">
        <v>116</v>
      </c>
    </row>
    <row r="10" spans="1:13" ht="15">
      <c r="E10" s="55" t="s">
        <v>117</v>
      </c>
    </row>
    <row r="11" spans="1:13" ht="15">
      <c r="E11" s="55" t="s">
        <v>118</v>
      </c>
    </row>
    <row r="12" spans="1:13" ht="15">
      <c r="E12" s="55" t="s">
        <v>118</v>
      </c>
    </row>
    <row r="13" spans="1:13" ht="15">
      <c r="E13" s="55" t="s">
        <v>119</v>
      </c>
    </row>
    <row r="14" spans="1:13" ht="15">
      <c r="E14" s="55"/>
    </row>
    <row r="16" spans="1:13" ht="18">
      <c r="A16" s="56" t="s">
        <v>120</v>
      </c>
      <c r="B16" s="56"/>
    </row>
    <row r="17" spans="1:5" ht="15">
      <c r="A17" s="57" t="s">
        <v>132</v>
      </c>
      <c r="B17" s="57"/>
    </row>
    <row r="18" spans="1:5" ht="14.25">
      <c r="A18" s="59"/>
      <c r="B18" s="60" t="s">
        <v>133</v>
      </c>
    </row>
    <row r="19" spans="1:5" ht="15">
      <c r="A19" s="61" t="s">
        <v>123</v>
      </c>
      <c r="B19" s="61" t="s">
        <v>124</v>
      </c>
      <c r="C19" s="61" t="s">
        <v>125</v>
      </c>
      <c r="D19" s="62" t="s">
        <v>155</v>
      </c>
      <c r="E19" s="61" t="s">
        <v>127</v>
      </c>
    </row>
    <row r="20" spans="1:5">
      <c r="A20" s="58" t="s">
        <v>226</v>
      </c>
      <c r="B20" s="4" t="s">
        <v>230</v>
      </c>
      <c r="C20" s="4" t="s">
        <v>223</v>
      </c>
      <c r="D20" s="63">
        <v>165</v>
      </c>
      <c r="E20" s="64">
        <v>101.334747970104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9"/>
  <sheetViews>
    <sheetView workbookViewId="0">
      <selection sqref="A1:Y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855468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26" t="s">
        <v>172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2" customFormat="1" ht="62.1" customHeight="1" thickBo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" customFormat="1" ht="12.75" customHeight="1">
      <c r="A3" s="20" t="s">
        <v>0</v>
      </c>
      <c r="B3" s="22" t="s">
        <v>7</v>
      </c>
      <c r="C3" s="22" t="s">
        <v>11</v>
      </c>
      <c r="D3" s="11" t="s">
        <v>13</v>
      </c>
      <c r="E3" s="19" t="s">
        <v>4</v>
      </c>
      <c r="F3" s="19" t="s">
        <v>8</v>
      </c>
      <c r="G3" s="19" t="s">
        <v>15</v>
      </c>
      <c r="H3" s="19"/>
      <c r="I3" s="19"/>
      <c r="J3" s="19"/>
      <c r="K3" s="11" t="s">
        <v>157</v>
      </c>
      <c r="L3" s="11" t="s">
        <v>3</v>
      </c>
      <c r="M3" s="24" t="s">
        <v>2</v>
      </c>
    </row>
    <row r="4" spans="1:13" s="1" customFormat="1" ht="21" customHeight="1" thickBot="1">
      <c r="A4" s="21"/>
      <c r="B4" s="23"/>
      <c r="C4" s="23"/>
      <c r="D4" s="12"/>
      <c r="E4" s="23"/>
      <c r="F4" s="23"/>
      <c r="G4" s="10">
        <v>1</v>
      </c>
      <c r="H4" s="10">
        <v>2</v>
      </c>
      <c r="I4" s="10">
        <v>3</v>
      </c>
      <c r="J4" s="10" t="s">
        <v>5</v>
      </c>
      <c r="K4" s="12"/>
      <c r="L4" s="12"/>
      <c r="M4" s="25"/>
    </row>
    <row r="5" spans="1:13" ht="15">
      <c r="A5" s="27" t="s">
        <v>173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175</v>
      </c>
      <c r="B6" s="29" t="s">
        <v>176</v>
      </c>
      <c r="C6" s="29" t="s">
        <v>177</v>
      </c>
      <c r="D6" s="30" t="str">
        <f>"0,9166"</f>
        <v>0,9166</v>
      </c>
      <c r="E6" s="29" t="s">
        <v>178</v>
      </c>
      <c r="F6" s="29" t="s">
        <v>23</v>
      </c>
      <c r="G6" s="32" t="s">
        <v>41</v>
      </c>
      <c r="H6" s="32" t="s">
        <v>41</v>
      </c>
      <c r="I6" s="31" t="s">
        <v>41</v>
      </c>
      <c r="J6" s="32"/>
      <c r="K6" s="33" t="str">
        <f>"40,0"</f>
        <v>40,0</v>
      </c>
      <c r="L6" s="34" t="str">
        <f>"36,6660"</f>
        <v>36,6660</v>
      </c>
      <c r="M6" s="29" t="s">
        <v>32</v>
      </c>
    </row>
    <row r="8" spans="1:13" ht="15">
      <c r="A8" s="35" t="s">
        <v>66</v>
      </c>
      <c r="B8" s="35"/>
      <c r="C8" s="35"/>
      <c r="D8" s="36"/>
      <c r="E8" s="35"/>
      <c r="F8" s="35"/>
      <c r="G8" s="35"/>
      <c r="H8" s="35"/>
      <c r="I8" s="35"/>
      <c r="J8" s="35"/>
    </row>
    <row r="9" spans="1:13">
      <c r="A9" s="37" t="s">
        <v>180</v>
      </c>
      <c r="B9" s="37" t="s">
        <v>181</v>
      </c>
      <c r="C9" s="37" t="s">
        <v>182</v>
      </c>
      <c r="D9" s="38" t="str">
        <f>"0,6456"</f>
        <v>0,6456</v>
      </c>
      <c r="E9" s="37" t="s">
        <v>178</v>
      </c>
      <c r="F9" s="37" t="s">
        <v>23</v>
      </c>
      <c r="G9" s="39" t="s">
        <v>92</v>
      </c>
      <c r="H9" s="39" t="s">
        <v>93</v>
      </c>
      <c r="I9" s="39" t="s">
        <v>64</v>
      </c>
      <c r="J9" s="40"/>
      <c r="K9" s="41" t="str">
        <f>"145,0"</f>
        <v>145,0</v>
      </c>
      <c r="L9" s="42" t="str">
        <f>"93,6120"</f>
        <v>93,6120</v>
      </c>
      <c r="M9" s="37" t="s">
        <v>32</v>
      </c>
    </row>
    <row r="10" spans="1:13">
      <c r="A10" s="43" t="s">
        <v>184</v>
      </c>
      <c r="B10" s="43" t="s">
        <v>185</v>
      </c>
      <c r="C10" s="43" t="s">
        <v>182</v>
      </c>
      <c r="D10" s="44" t="str">
        <f>"0,6456"</f>
        <v>0,6456</v>
      </c>
      <c r="E10" s="43" t="s">
        <v>164</v>
      </c>
      <c r="F10" s="43" t="s">
        <v>23</v>
      </c>
      <c r="G10" s="45" t="s">
        <v>63</v>
      </c>
      <c r="H10" s="45" t="s">
        <v>93</v>
      </c>
      <c r="I10" s="45" t="s">
        <v>64</v>
      </c>
      <c r="J10" s="46"/>
      <c r="K10" s="47" t="str">
        <f>"145,0"</f>
        <v>145,0</v>
      </c>
      <c r="L10" s="48" t="str">
        <f>"93,6120"</f>
        <v>93,6120</v>
      </c>
      <c r="M10" s="43" t="s">
        <v>32</v>
      </c>
    </row>
    <row r="11" spans="1:13">
      <c r="A11" s="43" t="s">
        <v>187</v>
      </c>
      <c r="B11" s="43" t="s">
        <v>188</v>
      </c>
      <c r="C11" s="43" t="s">
        <v>70</v>
      </c>
      <c r="D11" s="44" t="str">
        <f>"0,6492"</f>
        <v>0,6492</v>
      </c>
      <c r="E11" s="43" t="s">
        <v>178</v>
      </c>
      <c r="F11" s="43" t="s">
        <v>23</v>
      </c>
      <c r="G11" s="45" t="s">
        <v>59</v>
      </c>
      <c r="H11" s="45" t="s">
        <v>94</v>
      </c>
      <c r="I11" s="45" t="s">
        <v>60</v>
      </c>
      <c r="J11" s="46"/>
      <c r="K11" s="47" t="str">
        <f>"125,0"</f>
        <v>125,0</v>
      </c>
      <c r="L11" s="48" t="str">
        <f>"81,1562"</f>
        <v>81,1562</v>
      </c>
      <c r="M11" s="43" t="s">
        <v>32</v>
      </c>
    </row>
    <row r="12" spans="1:13">
      <c r="A12" s="49" t="s">
        <v>190</v>
      </c>
      <c r="B12" s="49" t="s">
        <v>191</v>
      </c>
      <c r="C12" s="49" t="s">
        <v>192</v>
      </c>
      <c r="D12" s="50" t="str">
        <f>"0,6540"</f>
        <v>0,6540</v>
      </c>
      <c r="E12" s="49" t="s">
        <v>164</v>
      </c>
      <c r="F12" s="49" t="s">
        <v>23</v>
      </c>
      <c r="G12" s="51" t="s">
        <v>60</v>
      </c>
      <c r="H12" s="51" t="s">
        <v>92</v>
      </c>
      <c r="I12" s="51" t="s">
        <v>63</v>
      </c>
      <c r="J12" s="52"/>
      <c r="K12" s="53" t="str">
        <f>"135,0"</f>
        <v>135,0</v>
      </c>
      <c r="L12" s="54" t="str">
        <f>"93,1459"</f>
        <v>93,1459</v>
      </c>
      <c r="M12" s="49" t="s">
        <v>32</v>
      </c>
    </row>
    <row r="14" spans="1:13" ht="15">
      <c r="A14" s="35" t="s">
        <v>193</v>
      </c>
      <c r="B14" s="35"/>
      <c r="C14" s="35"/>
      <c r="D14" s="36"/>
      <c r="E14" s="35"/>
      <c r="F14" s="35"/>
      <c r="G14" s="35"/>
      <c r="H14" s="35"/>
      <c r="I14" s="35"/>
      <c r="J14" s="35"/>
    </row>
    <row r="15" spans="1:13">
      <c r="A15" s="37" t="s">
        <v>195</v>
      </c>
      <c r="B15" s="37" t="s">
        <v>196</v>
      </c>
      <c r="C15" s="37" t="s">
        <v>197</v>
      </c>
      <c r="D15" s="38" t="str">
        <f>"0,6382"</f>
        <v>0,6382</v>
      </c>
      <c r="E15" s="37" t="s">
        <v>164</v>
      </c>
      <c r="F15" s="37" t="s">
        <v>23</v>
      </c>
      <c r="G15" s="40" t="s">
        <v>93</v>
      </c>
      <c r="H15" s="39" t="s">
        <v>64</v>
      </c>
      <c r="I15" s="40" t="s">
        <v>65</v>
      </c>
      <c r="J15" s="40"/>
      <c r="K15" s="41" t="str">
        <f>"145,0"</f>
        <v>145,0</v>
      </c>
      <c r="L15" s="42" t="str">
        <f>"92,5390"</f>
        <v>92,5390</v>
      </c>
      <c r="M15" s="37" t="s">
        <v>32</v>
      </c>
    </row>
    <row r="16" spans="1:13">
      <c r="A16" s="49" t="s">
        <v>199</v>
      </c>
      <c r="B16" s="49" t="s">
        <v>200</v>
      </c>
      <c r="C16" s="49" t="s">
        <v>201</v>
      </c>
      <c r="D16" s="50" t="str">
        <f>"0,6217"</f>
        <v>0,6217</v>
      </c>
      <c r="E16" s="49" t="s">
        <v>178</v>
      </c>
      <c r="F16" s="49" t="s">
        <v>23</v>
      </c>
      <c r="G16" s="51" t="s">
        <v>94</v>
      </c>
      <c r="H16" s="52" t="s">
        <v>60</v>
      </c>
      <c r="I16" s="52" t="s">
        <v>60</v>
      </c>
      <c r="J16" s="52"/>
      <c r="K16" s="53" t="str">
        <f>"120,0"</f>
        <v>120,0</v>
      </c>
      <c r="L16" s="54" t="str">
        <f>"74,6100"</f>
        <v>74,6100</v>
      </c>
      <c r="M16" s="49" t="s">
        <v>32</v>
      </c>
    </row>
    <row r="18" spans="1:13" ht="15">
      <c r="A18" s="35" t="s">
        <v>96</v>
      </c>
      <c r="B18" s="35"/>
      <c r="C18" s="35"/>
      <c r="D18" s="36"/>
      <c r="E18" s="35"/>
      <c r="F18" s="35"/>
      <c r="G18" s="35"/>
      <c r="H18" s="35"/>
      <c r="I18" s="35"/>
      <c r="J18" s="35"/>
    </row>
    <row r="19" spans="1:13">
      <c r="A19" s="37" t="s">
        <v>203</v>
      </c>
      <c r="B19" s="37" t="s">
        <v>204</v>
      </c>
      <c r="C19" s="37" t="s">
        <v>205</v>
      </c>
      <c r="D19" s="38" t="str">
        <f>"0,5816"</f>
        <v>0,5816</v>
      </c>
      <c r="E19" s="37" t="s">
        <v>178</v>
      </c>
      <c r="F19" s="37" t="s">
        <v>23</v>
      </c>
      <c r="G19" s="39" t="s">
        <v>65</v>
      </c>
      <c r="H19" s="39" t="s">
        <v>85</v>
      </c>
      <c r="I19" s="39" t="s">
        <v>72</v>
      </c>
      <c r="J19" s="40"/>
      <c r="K19" s="41" t="str">
        <f>"160,0"</f>
        <v>160,0</v>
      </c>
      <c r="L19" s="42" t="str">
        <f>"93,0480"</f>
        <v>93,0480</v>
      </c>
      <c r="M19" s="37" t="s">
        <v>32</v>
      </c>
    </row>
    <row r="20" spans="1:13">
      <c r="A20" s="43" t="s">
        <v>207</v>
      </c>
      <c r="B20" s="43" t="s">
        <v>208</v>
      </c>
      <c r="C20" s="43" t="s">
        <v>209</v>
      </c>
      <c r="D20" s="44" t="str">
        <f>"0,6100"</f>
        <v>0,6100</v>
      </c>
      <c r="E20" s="43" t="s">
        <v>178</v>
      </c>
      <c r="F20" s="43" t="s">
        <v>23</v>
      </c>
      <c r="G20" s="45" t="s">
        <v>63</v>
      </c>
      <c r="H20" s="46" t="s">
        <v>210</v>
      </c>
      <c r="I20" s="45" t="s">
        <v>64</v>
      </c>
      <c r="J20" s="46"/>
      <c r="K20" s="47" t="str">
        <f>"145,0"</f>
        <v>145,0</v>
      </c>
      <c r="L20" s="48" t="str">
        <f>"88,4500"</f>
        <v>88,4500</v>
      </c>
      <c r="M20" s="43" t="s">
        <v>32</v>
      </c>
    </row>
    <row r="21" spans="1:13">
      <c r="A21" s="49" t="s">
        <v>212</v>
      </c>
      <c r="B21" s="49" t="s">
        <v>213</v>
      </c>
      <c r="C21" s="49" t="s">
        <v>214</v>
      </c>
      <c r="D21" s="50" t="str">
        <f>"0,5880"</f>
        <v>0,5880</v>
      </c>
      <c r="E21" s="49" t="s">
        <v>148</v>
      </c>
      <c r="F21" s="49" t="s">
        <v>23</v>
      </c>
      <c r="G21" s="52" t="s">
        <v>114</v>
      </c>
      <c r="H21" s="51" t="s">
        <v>94</v>
      </c>
      <c r="I21" s="51" t="s">
        <v>92</v>
      </c>
      <c r="J21" s="52"/>
      <c r="K21" s="53" t="str">
        <f>"130,0"</f>
        <v>130,0</v>
      </c>
      <c r="L21" s="54" t="str">
        <f>"76,4400"</f>
        <v>76,4400</v>
      </c>
      <c r="M21" s="49" t="s">
        <v>32</v>
      </c>
    </row>
    <row r="23" spans="1:13" ht="15">
      <c r="A23" s="35" t="s">
        <v>107</v>
      </c>
      <c r="B23" s="35"/>
      <c r="C23" s="35"/>
      <c r="D23" s="36"/>
      <c r="E23" s="35"/>
      <c r="F23" s="35"/>
      <c r="G23" s="35"/>
      <c r="H23" s="35"/>
      <c r="I23" s="35"/>
      <c r="J23" s="35"/>
    </row>
    <row r="24" spans="1:13">
      <c r="A24" s="29" t="s">
        <v>216</v>
      </c>
      <c r="B24" s="29" t="s">
        <v>217</v>
      </c>
      <c r="C24" s="29" t="s">
        <v>218</v>
      </c>
      <c r="D24" s="30" t="str">
        <f>"0,5602"</f>
        <v>0,5602</v>
      </c>
      <c r="E24" s="29" t="s">
        <v>71</v>
      </c>
      <c r="F24" s="29" t="s">
        <v>219</v>
      </c>
      <c r="G24" s="31" t="s">
        <v>65</v>
      </c>
      <c r="H24" s="31" t="s">
        <v>72</v>
      </c>
      <c r="I24" s="32" t="s">
        <v>101</v>
      </c>
      <c r="J24" s="32"/>
      <c r="K24" s="33" t="str">
        <f>"160,0"</f>
        <v>160,0</v>
      </c>
      <c r="L24" s="34" t="str">
        <f>"89,6320"</f>
        <v>89,6320</v>
      </c>
      <c r="M24" s="29" t="s">
        <v>32</v>
      </c>
    </row>
    <row r="26" spans="1:13" ht="15">
      <c r="E26" s="55" t="s">
        <v>115</v>
      </c>
    </row>
    <row r="27" spans="1:13" ht="15">
      <c r="E27" s="55" t="s">
        <v>116</v>
      </c>
    </row>
    <row r="28" spans="1:13" ht="15">
      <c r="E28" s="55" t="s">
        <v>117</v>
      </c>
    </row>
    <row r="29" spans="1:13" ht="15">
      <c r="E29" s="55" t="s">
        <v>118</v>
      </c>
    </row>
    <row r="30" spans="1:13" ht="15">
      <c r="E30" s="55" t="s">
        <v>118</v>
      </c>
    </row>
    <row r="31" spans="1:13" ht="15">
      <c r="E31" s="55" t="s">
        <v>119</v>
      </c>
    </row>
    <row r="32" spans="1:13" ht="15">
      <c r="E32" s="55"/>
    </row>
    <row r="34" spans="1:5" ht="18">
      <c r="A34" s="56" t="s">
        <v>120</v>
      </c>
      <c r="B34" s="56"/>
    </row>
    <row r="35" spans="1:5" ht="15">
      <c r="A35" s="57" t="s">
        <v>121</v>
      </c>
      <c r="B35" s="57"/>
    </row>
    <row r="36" spans="1:5" ht="14.25">
      <c r="A36" s="59"/>
      <c r="B36" s="60" t="s">
        <v>130</v>
      </c>
    </row>
    <row r="37" spans="1:5" ht="15">
      <c r="A37" s="61" t="s">
        <v>123</v>
      </c>
      <c r="B37" s="61" t="s">
        <v>124</v>
      </c>
      <c r="C37" s="61" t="s">
        <v>125</v>
      </c>
      <c r="D37" s="62" t="s">
        <v>155</v>
      </c>
      <c r="E37" s="61" t="s">
        <v>127</v>
      </c>
    </row>
    <row r="38" spans="1:5">
      <c r="A38" s="58" t="s">
        <v>174</v>
      </c>
      <c r="B38" s="4" t="s">
        <v>130</v>
      </c>
      <c r="C38" s="4" t="s">
        <v>220</v>
      </c>
      <c r="D38" s="63">
        <v>40</v>
      </c>
      <c r="E38" s="64">
        <v>36.665999889373801</v>
      </c>
    </row>
    <row r="41" spans="1:5" ht="15">
      <c r="A41" s="57" t="s">
        <v>132</v>
      </c>
      <c r="B41" s="57"/>
    </row>
    <row r="42" spans="1:5" ht="14.25">
      <c r="A42" s="59"/>
      <c r="B42" s="60" t="s">
        <v>221</v>
      </c>
    </row>
    <row r="43" spans="1:5" ht="15">
      <c r="A43" s="61" t="s">
        <v>123</v>
      </c>
      <c r="B43" s="61" t="s">
        <v>124</v>
      </c>
      <c r="C43" s="61" t="s">
        <v>125</v>
      </c>
      <c r="D43" s="62" t="s">
        <v>155</v>
      </c>
      <c r="E43" s="61" t="s">
        <v>127</v>
      </c>
    </row>
    <row r="44" spans="1:5">
      <c r="A44" s="58" t="s">
        <v>179</v>
      </c>
      <c r="B44" s="4" t="s">
        <v>222</v>
      </c>
      <c r="C44" s="4" t="s">
        <v>134</v>
      </c>
      <c r="D44" s="63">
        <v>145</v>
      </c>
      <c r="E44" s="64">
        <v>93.612003028392806</v>
      </c>
    </row>
    <row r="46" spans="1:5" ht="14.25">
      <c r="A46" s="59"/>
      <c r="B46" s="60" t="s">
        <v>130</v>
      </c>
    </row>
    <row r="47" spans="1:5" ht="15">
      <c r="A47" s="61" t="s">
        <v>123</v>
      </c>
      <c r="B47" s="61" t="s">
        <v>124</v>
      </c>
      <c r="C47" s="61" t="s">
        <v>125</v>
      </c>
      <c r="D47" s="62" t="s">
        <v>155</v>
      </c>
      <c r="E47" s="61" t="s">
        <v>127</v>
      </c>
    </row>
    <row r="48" spans="1:5">
      <c r="A48" s="58" t="s">
        <v>183</v>
      </c>
      <c r="B48" s="4" t="s">
        <v>130</v>
      </c>
      <c r="C48" s="4" t="s">
        <v>134</v>
      </c>
      <c r="D48" s="63">
        <v>145</v>
      </c>
      <c r="E48" s="64">
        <v>93.612003028392806</v>
      </c>
    </row>
    <row r="49" spans="1:5">
      <c r="A49" s="58" t="s">
        <v>202</v>
      </c>
      <c r="B49" s="4" t="s">
        <v>130</v>
      </c>
      <c r="C49" s="4" t="s">
        <v>138</v>
      </c>
      <c r="D49" s="63">
        <v>160</v>
      </c>
      <c r="E49" s="64">
        <v>93.048000335693402</v>
      </c>
    </row>
    <row r="50" spans="1:5">
      <c r="A50" s="58" t="s">
        <v>194</v>
      </c>
      <c r="B50" s="4" t="s">
        <v>130</v>
      </c>
      <c r="C50" s="4" t="s">
        <v>223</v>
      </c>
      <c r="D50" s="63">
        <v>145</v>
      </c>
      <c r="E50" s="64">
        <v>92.538997828960404</v>
      </c>
    </row>
    <row r="51" spans="1:5">
      <c r="A51" s="58" t="s">
        <v>215</v>
      </c>
      <c r="B51" s="4" t="s">
        <v>130</v>
      </c>
      <c r="C51" s="4" t="s">
        <v>139</v>
      </c>
      <c r="D51" s="63">
        <v>160</v>
      </c>
      <c r="E51" s="64">
        <v>89.631996154785199</v>
      </c>
    </row>
    <row r="52" spans="1:5">
      <c r="A52" s="58" t="s">
        <v>206</v>
      </c>
      <c r="B52" s="4" t="s">
        <v>130</v>
      </c>
      <c r="C52" s="4" t="s">
        <v>138</v>
      </c>
      <c r="D52" s="63">
        <v>145</v>
      </c>
      <c r="E52" s="64">
        <v>88.450002074241596</v>
      </c>
    </row>
    <row r="53" spans="1:5">
      <c r="A53" s="58" t="s">
        <v>186</v>
      </c>
      <c r="B53" s="4" t="s">
        <v>130</v>
      </c>
      <c r="C53" s="4" t="s">
        <v>134</v>
      </c>
      <c r="D53" s="63">
        <v>125</v>
      </c>
      <c r="E53" s="64">
        <v>81.156246364116697</v>
      </c>
    </row>
    <row r="54" spans="1:5">
      <c r="A54" s="58" t="s">
        <v>211</v>
      </c>
      <c r="B54" s="4" t="s">
        <v>130</v>
      </c>
      <c r="C54" s="4" t="s">
        <v>138</v>
      </c>
      <c r="D54" s="63">
        <v>130</v>
      </c>
      <c r="E54" s="64">
        <v>76.439999938011198</v>
      </c>
    </row>
    <row r="55" spans="1:5">
      <c r="A55" s="58" t="s">
        <v>198</v>
      </c>
      <c r="B55" s="4" t="s">
        <v>130</v>
      </c>
      <c r="C55" s="4" t="s">
        <v>223</v>
      </c>
      <c r="D55" s="63">
        <v>120</v>
      </c>
      <c r="E55" s="64">
        <v>74.609999656677203</v>
      </c>
    </row>
    <row r="57" spans="1:5" ht="14.25">
      <c r="A57" s="59"/>
      <c r="B57" s="60" t="s">
        <v>140</v>
      </c>
    </row>
    <row r="58" spans="1:5" ht="15">
      <c r="A58" s="61" t="s">
        <v>123</v>
      </c>
      <c r="B58" s="61" t="s">
        <v>124</v>
      </c>
      <c r="C58" s="61" t="s">
        <v>125</v>
      </c>
      <c r="D58" s="62" t="s">
        <v>155</v>
      </c>
      <c r="E58" s="61" t="s">
        <v>127</v>
      </c>
    </row>
    <row r="59" spans="1:5">
      <c r="A59" s="58" t="s">
        <v>189</v>
      </c>
      <c r="B59" s="4" t="s">
        <v>224</v>
      </c>
      <c r="C59" s="4" t="s">
        <v>134</v>
      </c>
      <c r="D59" s="63">
        <v>135</v>
      </c>
      <c r="E59" s="64">
        <v>93.145947758853396</v>
      </c>
    </row>
  </sheetData>
  <mergeCells count="16">
    <mergeCell ref="A8:J8"/>
    <mergeCell ref="A14:J14"/>
    <mergeCell ref="A18:J18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Лист11</vt:lpstr>
      <vt:lpstr>IPС Двоеборье б.э.</vt:lpstr>
      <vt:lpstr>IPC Ягодичный мост</vt:lpstr>
      <vt:lpstr>IPC Присед без экип</vt:lpstr>
      <vt:lpstr>IPC C.подъем на бицепс</vt:lpstr>
      <vt:lpstr>IPC Тяга без экипировки</vt:lpstr>
      <vt:lpstr>IPC Жим софт многослой</vt:lpstr>
      <vt:lpstr>IPC Жим однослой</vt:lpstr>
      <vt:lpstr>IPC Жим лежа без экип</vt:lpstr>
      <vt:lpstr>IPC Народный жим (1_2)</vt:lpstr>
      <vt:lpstr>IPC Народный жим</vt:lpstr>
      <vt:lpstr>IPC ПЛ без экипировки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ADMIN</cp:lastModifiedBy>
  <cp:lastPrinted>2015-07-16T19:10:53Z</cp:lastPrinted>
  <dcterms:created xsi:type="dcterms:W3CDTF">2002-06-16T13:36:44Z</dcterms:created>
  <dcterms:modified xsi:type="dcterms:W3CDTF">2024-12-16T17:06:36Z</dcterms:modified>
</cp:coreProperties>
</file>