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5" windowWidth="11340" windowHeight="9690" tabRatio="970"/>
  </bookViews>
  <sheets>
    <sheet name="AWPC Powerlifting Classic" sheetId="25" r:id="rId1"/>
    <sheet name="AWPC raw powerlifting" sheetId="13" r:id="rId2"/>
    <sheet name="AWPC raw benchpress" sheetId="16" r:id="rId3"/>
    <sheet name="AWPC single ply benchpress" sheetId="17" r:id="rId4"/>
    <sheet name="AWPC soft benchpress" sheetId="26" r:id="rId5"/>
    <sheet name="AWPC Folk BP 1_2 bw" sheetId="31" r:id="rId6"/>
    <sheet name="AWPC Folk BP 1 bw" sheetId="29" r:id="rId7"/>
    <sheet name="AWPC raw deadlift" sheetId="22" r:id="rId8"/>
    <sheet name="AWPC single ply deadlift" sheetId="23" r:id="rId9"/>
    <sheet name="AWPC multy ply deadlift" sheetId="24" r:id="rId10"/>
    <sheet name="WPC Powerlifting Classic" sheetId="5" r:id="rId11"/>
    <sheet name="WPC raw powerlifting" sheetId="6" r:id="rId12"/>
    <sheet name="WPC raw benchpress" sheetId="9" r:id="rId13"/>
    <sheet name="WPC single ply benchpress" sheetId="11" r:id="rId14"/>
    <sheet name="WPC multi ply benchpress" sheetId="12" r:id="rId15"/>
    <sheet name="WPC soft benchpress" sheetId="27" r:id="rId16"/>
    <sheet name="WPC Folk BP 1_2 bw" sheetId="30" r:id="rId17"/>
    <sheet name="WPC Folk BP 1 bw" sheetId="28" r:id="rId18"/>
    <sheet name="WPC raw deadlift" sheetId="19" r:id="rId19"/>
    <sheet name="WPC single ply deadlift" sheetId="20" r:id="rId20"/>
  </sheets>
  <definedNames>
    <definedName name="_xlnm._FilterDatabase" localSheetId="5" hidden="1">'AWPC Folk BP 1_2 bw'!$A$1:$K$3</definedName>
    <definedName name="_xlnm._FilterDatabase" localSheetId="10" hidden="1">'WPC Powerlifting Classic'!$A$1:$S$3</definedName>
  </definedNames>
  <calcPr calcId="124519" refMode="R1C1"/>
</workbook>
</file>

<file path=xl/calcChain.xml><?xml version="1.0" encoding="utf-8"?>
<calcChain xmlns="http://schemas.openxmlformats.org/spreadsheetml/2006/main">
  <c r="L7" i="31"/>
  <c r="D7"/>
  <c r="L6"/>
  <c r="D6"/>
  <c r="L6" i="30"/>
  <c r="D6"/>
  <c r="L22" i="29"/>
  <c r="D22"/>
  <c r="L19"/>
  <c r="D19"/>
  <c r="L18"/>
  <c r="D18"/>
  <c r="L17"/>
  <c r="D17"/>
  <c r="L14"/>
  <c r="D14"/>
  <c r="L11"/>
  <c r="D11"/>
  <c r="L10"/>
  <c r="D10"/>
  <c r="L9"/>
  <c r="D9"/>
  <c r="L6"/>
  <c r="D6"/>
  <c r="L27" i="28"/>
  <c r="D27"/>
  <c r="L24"/>
  <c r="D24"/>
  <c r="L21"/>
  <c r="D21"/>
  <c r="L18"/>
  <c r="D18"/>
  <c r="L17"/>
  <c r="D17"/>
  <c r="L16"/>
  <c r="D16"/>
  <c r="L13"/>
  <c r="D13"/>
  <c r="L10"/>
  <c r="D10"/>
  <c r="L9"/>
  <c r="D9"/>
  <c r="L8"/>
  <c r="D8"/>
  <c r="L7"/>
  <c r="D7"/>
  <c r="L6"/>
  <c r="D6"/>
  <c r="L12" i="27"/>
  <c r="D12"/>
  <c r="L9"/>
  <c r="D9"/>
  <c r="L6"/>
  <c r="D6"/>
  <c r="L6" i="26"/>
  <c r="D6"/>
  <c r="T12" i="25"/>
  <c r="D12"/>
  <c r="T9"/>
  <c r="D9"/>
  <c r="T6"/>
  <c r="D6"/>
  <c r="L6" i="24"/>
  <c r="D6"/>
  <c r="L6" i="23"/>
  <c r="D6"/>
  <c r="L59" i="22"/>
  <c r="D59"/>
  <c r="L56"/>
  <c r="D56"/>
  <c r="L55"/>
  <c r="D55"/>
  <c r="L52"/>
  <c r="D52"/>
  <c r="L49"/>
  <c r="D49"/>
  <c r="L48"/>
  <c r="D48"/>
  <c r="L47"/>
  <c r="D47"/>
  <c r="L46"/>
  <c r="D46"/>
  <c r="L45"/>
  <c r="D45"/>
  <c r="L42"/>
  <c r="D42"/>
  <c r="L41"/>
  <c r="D41"/>
  <c r="L40"/>
  <c r="D40"/>
  <c r="L39"/>
  <c r="D39"/>
  <c r="L38"/>
  <c r="D38"/>
  <c r="L35"/>
  <c r="D35"/>
  <c r="L34"/>
  <c r="D34"/>
  <c r="L33"/>
  <c r="D33"/>
  <c r="L32"/>
  <c r="D32"/>
  <c r="L31"/>
  <c r="D31"/>
  <c r="L28"/>
  <c r="D28"/>
  <c r="L25"/>
  <c r="D25"/>
  <c r="L22"/>
  <c r="D22"/>
  <c r="L21"/>
  <c r="D21"/>
  <c r="L18"/>
  <c r="D18"/>
  <c r="L17"/>
  <c r="D17"/>
  <c r="L14"/>
  <c r="D14"/>
  <c r="L11"/>
  <c r="D11"/>
  <c r="L10"/>
  <c r="D10"/>
  <c r="L7"/>
  <c r="D7"/>
  <c r="L6"/>
  <c r="D6"/>
  <c r="L7" i="20"/>
  <c r="D7"/>
  <c r="L6"/>
  <c r="D6"/>
  <c r="L29" i="19"/>
  <c r="D29"/>
  <c r="L26"/>
  <c r="D26"/>
  <c r="L25"/>
  <c r="D25"/>
  <c r="L22"/>
  <c r="D22"/>
  <c r="L19"/>
  <c r="D19"/>
  <c r="L18"/>
  <c r="D18"/>
  <c r="L17"/>
  <c r="D17"/>
  <c r="L14"/>
  <c r="D14"/>
  <c r="L13"/>
  <c r="D13"/>
  <c r="L12"/>
  <c r="D12"/>
  <c r="L9"/>
  <c r="D9"/>
  <c r="L6"/>
  <c r="D6"/>
  <c r="L6" i="17"/>
  <c r="D6"/>
  <c r="L91" i="16"/>
  <c r="D91"/>
  <c r="L88"/>
  <c r="D88"/>
  <c r="L87"/>
  <c r="D87"/>
  <c r="L86"/>
  <c r="D86"/>
  <c r="L85"/>
  <c r="D85"/>
  <c r="L84"/>
  <c r="D84"/>
  <c r="L81"/>
  <c r="D81"/>
  <c r="L80"/>
  <c r="D80"/>
  <c r="L79"/>
  <c r="D79"/>
  <c r="L78"/>
  <c r="D78"/>
  <c r="L77"/>
  <c r="D77"/>
  <c r="L76"/>
  <c r="D76"/>
  <c r="L75"/>
  <c r="D75"/>
  <c r="L74"/>
  <c r="D74"/>
  <c r="L71"/>
  <c r="D71"/>
  <c r="L70"/>
  <c r="D70"/>
  <c r="L69"/>
  <c r="D69"/>
  <c r="L68"/>
  <c r="D68"/>
  <c r="L67"/>
  <c r="D67"/>
  <c r="L66"/>
  <c r="D66"/>
  <c r="L65"/>
  <c r="D65"/>
  <c r="L64"/>
  <c r="D64"/>
  <c r="L63"/>
  <c r="D63"/>
  <c r="L60"/>
  <c r="D60"/>
  <c r="L59"/>
  <c r="D59"/>
  <c r="L58"/>
  <c r="D58"/>
  <c r="L57"/>
  <c r="D57"/>
  <c r="L56"/>
  <c r="D56"/>
  <c r="L55"/>
  <c r="D55"/>
  <c r="L54"/>
  <c r="D54"/>
  <c r="L53"/>
  <c r="D53"/>
  <c r="L52"/>
  <c r="D52"/>
  <c r="L49"/>
  <c r="D49"/>
  <c r="L48"/>
  <c r="D48"/>
  <c r="L47"/>
  <c r="D47"/>
  <c r="L46"/>
  <c r="D46"/>
  <c r="L45"/>
  <c r="D45"/>
  <c r="L42"/>
  <c r="D42"/>
  <c r="L41"/>
  <c r="D41"/>
  <c r="L40"/>
  <c r="D40"/>
  <c r="L39"/>
  <c r="D39"/>
  <c r="L38"/>
  <c r="D38"/>
  <c r="L37"/>
  <c r="D37"/>
  <c r="L36"/>
  <c r="D36"/>
  <c r="L35"/>
  <c r="D35"/>
  <c r="L34"/>
  <c r="D34"/>
  <c r="L33"/>
  <c r="D33"/>
  <c r="L32"/>
  <c r="D32"/>
  <c r="L31"/>
  <c r="D31"/>
  <c r="L30"/>
  <c r="D30"/>
  <c r="L29"/>
  <c r="D29"/>
  <c r="L28"/>
  <c r="D28"/>
  <c r="L27"/>
  <c r="D27"/>
  <c r="L24"/>
  <c r="D24"/>
  <c r="L21"/>
  <c r="D21"/>
  <c r="L18"/>
  <c r="D18"/>
  <c r="L15"/>
  <c r="D15"/>
  <c r="L12"/>
  <c r="D12"/>
  <c r="L9"/>
  <c r="D9"/>
  <c r="L6"/>
  <c r="D6"/>
  <c r="T36" i="13"/>
  <c r="D36"/>
  <c r="T35"/>
  <c r="D35"/>
  <c r="T32"/>
  <c r="D32"/>
  <c r="T31"/>
  <c r="D31"/>
  <c r="T30"/>
  <c r="D30"/>
  <c r="T29"/>
  <c r="D29"/>
  <c r="T26"/>
  <c r="D26"/>
  <c r="T25"/>
  <c r="D25"/>
  <c r="T24"/>
  <c r="D24"/>
  <c r="T23"/>
  <c r="D23"/>
  <c r="T20"/>
  <c r="D20"/>
  <c r="T19"/>
  <c r="D19"/>
  <c r="T16"/>
  <c r="D16"/>
  <c r="T15"/>
  <c r="D15"/>
  <c r="T12"/>
  <c r="D12"/>
  <c r="T9"/>
  <c r="D9"/>
  <c r="T6"/>
  <c r="D6"/>
  <c r="L6" i="12"/>
  <c r="D6"/>
  <c r="L6" i="11"/>
  <c r="D6"/>
  <c r="L50" i="9"/>
  <c r="D50"/>
  <c r="L47"/>
  <c r="D47"/>
  <c r="L46"/>
  <c r="D46"/>
  <c r="L43"/>
  <c r="D43"/>
  <c r="L42"/>
  <c r="D42"/>
  <c r="L41"/>
  <c r="D41"/>
  <c r="L38"/>
  <c r="D38"/>
  <c r="L37"/>
  <c r="D37"/>
  <c r="L36"/>
  <c r="D36"/>
  <c r="L35"/>
  <c r="D35"/>
  <c r="L34"/>
  <c r="D34"/>
  <c r="L33"/>
  <c r="D33"/>
  <c r="L32"/>
  <c r="D32"/>
  <c r="L31"/>
  <c r="D31"/>
  <c r="L28"/>
  <c r="D28"/>
  <c r="L27"/>
  <c r="D27"/>
  <c r="L26"/>
  <c r="D26"/>
  <c r="L25"/>
  <c r="D25"/>
  <c r="L24"/>
  <c r="D24"/>
  <c r="L23"/>
  <c r="D23"/>
  <c r="L20"/>
  <c r="D20"/>
  <c r="L19"/>
  <c r="D19"/>
  <c r="L16"/>
  <c r="D16"/>
  <c r="L15"/>
  <c r="D15"/>
  <c r="L12"/>
  <c r="D12"/>
  <c r="L9"/>
  <c r="D9"/>
  <c r="L6"/>
  <c r="D6"/>
  <c r="T12" i="6"/>
  <c r="D12"/>
  <c r="T9"/>
  <c r="D9"/>
  <c r="T6"/>
  <c r="D6"/>
  <c r="T20" i="5"/>
  <c r="D20"/>
  <c r="T17"/>
  <c r="D17"/>
  <c r="T16"/>
  <c r="D16"/>
  <c r="T15"/>
  <c r="D15"/>
  <c r="T14"/>
  <c r="D14"/>
  <c r="T11"/>
  <c r="D11"/>
  <c r="T10"/>
  <c r="D10"/>
  <c r="T9"/>
  <c r="D9"/>
  <c r="T6"/>
  <c r="D6"/>
</calcChain>
</file>

<file path=xl/sharedStrings.xml><?xml version="1.0" encoding="utf-8"?>
<sst xmlns="http://schemas.openxmlformats.org/spreadsheetml/2006/main" count="3428" uniqueCount="999">
  <si>
    <t>Name</t>
  </si>
  <si>
    <t>Gloss</t>
  </si>
  <si>
    <t>Team</t>
  </si>
  <si>
    <t>Town</t>
  </si>
  <si>
    <t>Squat</t>
  </si>
  <si>
    <t>Benchpress</t>
  </si>
  <si>
    <t>Deadlift</t>
  </si>
  <si>
    <t>Totall</t>
  </si>
  <si>
    <t>Coach</t>
  </si>
  <si>
    <t>Pts</t>
  </si>
  <si>
    <t>Rec</t>
  </si>
  <si>
    <t>Body
weight</t>
  </si>
  <si>
    <t xml:space="preserve">Age Categoty
Bith date/Age
</t>
  </si>
  <si>
    <t>Body Weight Category  75</t>
  </si>
  <si>
    <t>Pogula Ekaterina</t>
  </si>
  <si>
    <t>Masters 45-49 (28.04.1972)/46</t>
  </si>
  <si>
    <t>67,80</t>
  </si>
  <si>
    <t>lichno</t>
  </si>
  <si>
    <t>Dubna/Moskovskaya oblast</t>
  </si>
  <si>
    <t>75,0</t>
  </si>
  <si>
    <t>35,0</t>
  </si>
  <si>
    <t>37,5</t>
  </si>
  <si>
    <t>70,0</t>
  </si>
  <si>
    <t>77,5</t>
  </si>
  <si>
    <t>82,5</t>
  </si>
  <si>
    <t>Body Weight Category  90</t>
  </si>
  <si>
    <t>Alvanyan Sergey</t>
  </si>
  <si>
    <t>Open (22.10.1985)/33</t>
  </si>
  <si>
    <t>87,00</t>
  </si>
  <si>
    <t>Armeniya/</t>
  </si>
  <si>
    <t>200,0</t>
  </si>
  <si>
    <t>215,0</t>
  </si>
  <si>
    <t>230,0</t>
  </si>
  <si>
    <t>155,0</t>
  </si>
  <si>
    <t>162,5</t>
  </si>
  <si>
    <t>245,0</t>
  </si>
  <si>
    <t>260,0</t>
  </si>
  <si>
    <t>Odinaev Komron</t>
  </si>
  <si>
    <t>Open (15.03.1993)/25</t>
  </si>
  <si>
    <t>89,70</t>
  </si>
  <si>
    <t>Vidnoye/Moskovskaya oblast</t>
  </si>
  <si>
    <t>240,0</t>
  </si>
  <si>
    <t>250,0</t>
  </si>
  <si>
    <t>140,0</t>
  </si>
  <si>
    <t>150,0</t>
  </si>
  <si>
    <t>220,0</t>
  </si>
  <si>
    <t>Artamonov Egor</t>
  </si>
  <si>
    <t>Open (30.06.1992)/26</t>
  </si>
  <si>
    <t>89,60</t>
  </si>
  <si>
    <t>Dmitrov/Moskovskaya oblast</t>
  </si>
  <si>
    <t>135,0</t>
  </si>
  <si>
    <t>145,0</t>
  </si>
  <si>
    <t>225,0</t>
  </si>
  <si>
    <t>Body Weight Category  100</t>
  </si>
  <si>
    <t>Pogoreliy Nikolay</t>
  </si>
  <si>
    <t>Open (01.10.1993)/25</t>
  </si>
  <si>
    <t>97,00</t>
  </si>
  <si>
    <t>Anapa/Krasnodarskiy kray</t>
  </si>
  <si>
    <t>280,0</t>
  </si>
  <si>
    <t>160,0</t>
  </si>
  <si>
    <t>270,0</t>
  </si>
  <si>
    <t>290,0</t>
  </si>
  <si>
    <t>305,0</t>
  </si>
  <si>
    <t>Panfilov Maksim</t>
  </si>
  <si>
    <t>Open (24.01.1992)/26</t>
  </si>
  <si>
    <t>94,40</t>
  </si>
  <si>
    <t>Smirnov Power Team</t>
  </si>
  <si>
    <t>Kemerovo/Kemerovskaya oblast</t>
  </si>
  <si>
    <t>255,0</t>
  </si>
  <si>
    <t>165,0</t>
  </si>
  <si>
    <t>175,0</t>
  </si>
  <si>
    <t>Oleksenko Vladimir</t>
  </si>
  <si>
    <t>Masters 45-49 (12.11.1971)/47</t>
  </si>
  <si>
    <t>96,60</t>
  </si>
  <si>
    <t>Reutov/Moskovskaya oblast</t>
  </si>
  <si>
    <t>170,0</t>
  </si>
  <si>
    <t>180,0</t>
  </si>
  <si>
    <t>Tsvetkov Aleksandr</t>
  </si>
  <si>
    <t>Masters 60-64 (10.04.1957)/61</t>
  </si>
  <si>
    <t>99,80</t>
  </si>
  <si>
    <t>115,0</t>
  </si>
  <si>
    <t>120,0</t>
  </si>
  <si>
    <t>125,5</t>
  </si>
  <si>
    <t>235,0</t>
  </si>
  <si>
    <t>Body Weight Category  110</t>
  </si>
  <si>
    <t>Koptev Mikhail</t>
  </si>
  <si>
    <t>Open (17.06.1991)/27</t>
  </si>
  <si>
    <t>106,70</t>
  </si>
  <si>
    <t>OSN "Saturn"</t>
  </si>
  <si>
    <t>Engels/Saratovskaya oblast</t>
  </si>
  <si>
    <t>300,0</t>
  </si>
  <si>
    <t>320,0</t>
  </si>
  <si>
    <t>310,0</t>
  </si>
  <si>
    <t>Meet director:</t>
  </si>
  <si>
    <t>Head secretary:</t>
  </si>
  <si>
    <t>Head Referee:</t>
  </si>
  <si>
    <t>Side Referyy Left:</t>
  </si>
  <si>
    <t>Side Referyy Right:</t>
  </si>
  <si>
    <t>Fligth secretary:</t>
  </si>
  <si>
    <t>List absolute winners</t>
  </si>
  <si>
    <t>Women</t>
  </si>
  <si>
    <t>Masters</t>
  </si>
  <si>
    <t>Age class</t>
  </si>
  <si>
    <t>WC</t>
  </si>
  <si>
    <t>Coef.</t>
  </si>
  <si>
    <t>Masters 45-49</t>
  </si>
  <si>
    <t>75</t>
  </si>
  <si>
    <t>192,5</t>
  </si>
  <si>
    <t>184,2806</t>
  </si>
  <si>
    <t>Man</t>
  </si>
  <si>
    <t>Open</t>
  </si>
  <si>
    <t>110</t>
  </si>
  <si>
    <t>820,0</t>
  </si>
  <si>
    <t>465,4730</t>
  </si>
  <si>
    <t>100</t>
  </si>
  <si>
    <t>730,0</t>
  </si>
  <si>
    <t>430,0430</t>
  </si>
  <si>
    <t>660,0</t>
  </si>
  <si>
    <t>393,8550</t>
  </si>
  <si>
    <t>90</t>
  </si>
  <si>
    <t>615,0</t>
  </si>
  <si>
    <t>383,6677</t>
  </si>
  <si>
    <t>610,0</t>
  </si>
  <si>
    <t>373,9300</t>
  </si>
  <si>
    <t>570,0</t>
  </si>
  <si>
    <t>349,6095</t>
  </si>
  <si>
    <t>Masters 60-64</t>
  </si>
  <si>
    <t>590,0</t>
  </si>
  <si>
    <t>468,8959</t>
  </si>
  <si>
    <t>630,0</t>
  </si>
  <si>
    <t>397,1102</t>
  </si>
  <si>
    <t>Safarova Nataliya</t>
  </si>
  <si>
    <t>Open (03.05.1988)/30</t>
  </si>
  <si>
    <t>73,60</t>
  </si>
  <si>
    <t>Khimki/Moskovskaya oblast</t>
  </si>
  <si>
    <t>130,0</t>
  </si>
  <si>
    <t>62,5</t>
  </si>
  <si>
    <t>67,5</t>
  </si>
  <si>
    <t>157,5</t>
  </si>
  <si>
    <t>Body Weight Category  82.5</t>
  </si>
  <si>
    <t>Arbatov Grigoriy</t>
  </si>
  <si>
    <t>Open (12.02.1987)/31</t>
  </si>
  <si>
    <t>82,50</t>
  </si>
  <si>
    <t>Mikhaylovka/Primorskiy kray</t>
  </si>
  <si>
    <t>210,0</t>
  </si>
  <si>
    <t>Sharshin Sergey</t>
  </si>
  <si>
    <t>Open (26.10.1986)/32</t>
  </si>
  <si>
    <t>87,80</t>
  </si>
  <si>
    <t>Moskva</t>
  </si>
  <si>
    <t>377,5</t>
  </si>
  <si>
    <t>319,6670</t>
  </si>
  <si>
    <t>82.5</t>
  </si>
  <si>
    <t>650,0</t>
  </si>
  <si>
    <t>418,9900</t>
  </si>
  <si>
    <t>605,0</t>
  </si>
  <si>
    <t>375,4025</t>
  </si>
  <si>
    <t>Body Weight Category  52</t>
  </si>
  <si>
    <t>Bachmaga Olga</t>
  </si>
  <si>
    <t>Open (23.09.1985)/33</t>
  </si>
  <si>
    <t>49,10</t>
  </si>
  <si>
    <t>0,0</t>
  </si>
  <si>
    <t>55,0</t>
  </si>
  <si>
    <t>60,0</t>
  </si>
  <si>
    <t>65,0</t>
  </si>
  <si>
    <t>Body Weight Category  56</t>
  </si>
  <si>
    <t>Peledutse Luchian</t>
  </si>
  <si>
    <t>Teen 13-15 (16.08.2004)/14</t>
  </si>
  <si>
    <t>54,80</t>
  </si>
  <si>
    <t>Domodedovo/Moskovskaya oblast</t>
  </si>
  <si>
    <t>47,5</t>
  </si>
  <si>
    <t>52,5</t>
  </si>
  <si>
    <t>Body Weight Category  67.5</t>
  </si>
  <si>
    <t>Engels Dmitriy</t>
  </si>
  <si>
    <t>Juniors 20-23 (16.06.1997)/21</t>
  </si>
  <si>
    <t>67,00</t>
  </si>
  <si>
    <t>Latviya/</t>
  </si>
  <si>
    <t>87,5</t>
  </si>
  <si>
    <t>92,5</t>
  </si>
  <si>
    <t>Chincharauli Georgi</t>
  </si>
  <si>
    <t>Open (15.04.1991)/27</t>
  </si>
  <si>
    <t>73,30</t>
  </si>
  <si>
    <t>Novorossiysk/Krasnodarskiy kray</t>
  </si>
  <si>
    <t>182,5</t>
  </si>
  <si>
    <t>Sparbergs Arvids</t>
  </si>
  <si>
    <t>Masters 70-74 (18.11.1945)/73</t>
  </si>
  <si>
    <t>69,80</t>
  </si>
  <si>
    <t>80,0</t>
  </si>
  <si>
    <t>85,0</t>
  </si>
  <si>
    <t>90,0</t>
  </si>
  <si>
    <t>Polyakov Sergey</t>
  </si>
  <si>
    <t>Open (04.02.1991)/27</t>
  </si>
  <si>
    <t>82,20</t>
  </si>
  <si>
    <t>Lebedyan/Lipetskaya oblast</t>
  </si>
  <si>
    <t>185,0</t>
  </si>
  <si>
    <t>190,0</t>
  </si>
  <si>
    <t>Rul Andrey</t>
  </si>
  <si>
    <t>Open (24.07.1982)/36</t>
  </si>
  <si>
    <t>80,50</t>
  </si>
  <si>
    <t>Timchenko Sergey</t>
  </si>
  <si>
    <t>Open (23.12.1979)/39</t>
  </si>
  <si>
    <t>88,50</t>
  </si>
  <si>
    <t>Rossiya</t>
  </si>
  <si>
    <t>Podolsk/Moskovskaya oblast</t>
  </si>
  <si>
    <t>217,5</t>
  </si>
  <si>
    <t>Akinshin Pavel</t>
  </si>
  <si>
    <t>Open (29.04.1986)/32</t>
  </si>
  <si>
    <t>Armashov Aleksey</t>
  </si>
  <si>
    <t>Open (14.11.1988)/30</t>
  </si>
  <si>
    <t>87,70</t>
  </si>
  <si>
    <t>Zheleznodorozhnyy/Moskovskaya oblast</t>
  </si>
  <si>
    <t>147,5</t>
  </si>
  <si>
    <t>Dyagilev Svyatoslav</t>
  </si>
  <si>
    <t>Open (14.07.1991)/27</t>
  </si>
  <si>
    <t>86,30</t>
  </si>
  <si>
    <t>Samsonov Igor</t>
  </si>
  <si>
    <t>Masters 45-49 (23.03.1969)/49</t>
  </si>
  <si>
    <t>89,00</t>
  </si>
  <si>
    <t>Dimitrovgrad/Ulyanovskaya oblast</t>
  </si>
  <si>
    <t>Savelev Eduard</t>
  </si>
  <si>
    <t>Masters 45-49 (12.03.1971)/47</t>
  </si>
  <si>
    <t>86,50</t>
  </si>
  <si>
    <t>Lazarev Denis</t>
  </si>
  <si>
    <t>Teen 13-15 (02.09.2003)/15</t>
  </si>
  <si>
    <t>92,20</t>
  </si>
  <si>
    <t>Molotievskiy Pavel</t>
  </si>
  <si>
    <t>Teen 18-19 (17.06.1998)/20</t>
  </si>
  <si>
    <t>94,10</t>
  </si>
  <si>
    <t>Dzhafarov Nofar</t>
  </si>
  <si>
    <t>Open (23.06.1989)/29</t>
  </si>
  <si>
    <t>98,50</t>
  </si>
  <si>
    <t>Angarsk/Irkutskaya oblast</t>
  </si>
  <si>
    <t>Belov Anton</t>
  </si>
  <si>
    <t>Open (24.03.1985)/33</t>
  </si>
  <si>
    <t>97,80</t>
  </si>
  <si>
    <t>Snezhkov Ilya</t>
  </si>
  <si>
    <t>Open (06.12.1989)/29</t>
  </si>
  <si>
    <t>94,30</t>
  </si>
  <si>
    <t>Zelenograd/Moskovskaya oblast</t>
  </si>
  <si>
    <t>195,0</t>
  </si>
  <si>
    <t>Toksharov Aysa</t>
  </si>
  <si>
    <t>Open (08.08.1980)/38</t>
  </si>
  <si>
    <t>95,00</t>
  </si>
  <si>
    <t>PGT Yagodnoye/Magadanskaya oblast</t>
  </si>
  <si>
    <t>137,5</t>
  </si>
  <si>
    <t>Yablokov Denis</t>
  </si>
  <si>
    <t>Masters 40-44 (12.10.1976)/42</t>
  </si>
  <si>
    <t>93,10</t>
  </si>
  <si>
    <t>110,0</t>
  </si>
  <si>
    <t>142,5</t>
  </si>
  <si>
    <t>Petrov Aleksandr</t>
  </si>
  <si>
    <t>Masters 55-59 (17.07.1960)/58</t>
  </si>
  <si>
    <t>94,50</t>
  </si>
  <si>
    <t>Kiryanov Aleksandr</t>
  </si>
  <si>
    <t>Open (15.04.1975)/43</t>
  </si>
  <si>
    <t>105,30</t>
  </si>
  <si>
    <t>Krasnoznamensk/Moskovskaya oblast</t>
  </si>
  <si>
    <t>Uvetov Vladimir</t>
  </si>
  <si>
    <t>Open (12.04.1979)/39</t>
  </si>
  <si>
    <t>104,30</t>
  </si>
  <si>
    <t>227,5</t>
  </si>
  <si>
    <t>Krasilnikov Danila</t>
  </si>
  <si>
    <t>Open (22.07.1991)/27</t>
  </si>
  <si>
    <t>107,30</t>
  </si>
  <si>
    <t>Body Weight Category  125</t>
  </si>
  <si>
    <t>Klimov Victor</t>
  </si>
  <si>
    <t>Open (10.03.1975)/43</t>
  </si>
  <si>
    <t>118,30</t>
  </si>
  <si>
    <t>p. Yagodnoye/Magadanskaya</t>
  </si>
  <si>
    <t>202,5</t>
  </si>
  <si>
    <t>Masters 40-44 (10.03.1975)/43</t>
  </si>
  <si>
    <t>Body Weight Category  140</t>
  </si>
  <si>
    <t>Darchiev Georgiy</t>
  </si>
  <si>
    <t>Open (16.07.1977)/41</t>
  </si>
  <si>
    <t>137,30</t>
  </si>
  <si>
    <t>52</t>
  </si>
  <si>
    <t>69,5100</t>
  </si>
  <si>
    <t>Teenagers</t>
  </si>
  <si>
    <t>Teen 18-19</t>
  </si>
  <si>
    <t>83,6780</t>
  </si>
  <si>
    <t>Teen 13-15</t>
  </si>
  <si>
    <t>56</t>
  </si>
  <si>
    <t>47,9351</t>
  </si>
  <si>
    <t>42,2800</t>
  </si>
  <si>
    <t>Junior</t>
  </si>
  <si>
    <t>Juniors 20-23</t>
  </si>
  <si>
    <t>67.5</t>
  </si>
  <si>
    <t>65,9006</t>
  </si>
  <si>
    <t>133,9735</t>
  </si>
  <si>
    <t>129,7170</t>
  </si>
  <si>
    <t>128,7110</t>
  </si>
  <si>
    <t>124,7700</t>
  </si>
  <si>
    <t>123,2595</t>
  </si>
  <si>
    <t>122,7685</t>
  </si>
  <si>
    <t>140</t>
  </si>
  <si>
    <t>122,7062</t>
  </si>
  <si>
    <t>119,0765</t>
  </si>
  <si>
    <t>116,4345</t>
  </si>
  <si>
    <t>91,5827</t>
  </si>
  <si>
    <t>86,2605</t>
  </si>
  <si>
    <t>78,6060</t>
  </si>
  <si>
    <t>Masters 55-59</t>
  </si>
  <si>
    <t>138,0245</t>
  </si>
  <si>
    <t>Masters 70-74</t>
  </si>
  <si>
    <t>112,5479</t>
  </si>
  <si>
    <t>102,7911</t>
  </si>
  <si>
    <t>Masters 40-44</t>
  </si>
  <si>
    <t>81,9395</t>
  </si>
  <si>
    <t>40,6367</t>
  </si>
  <si>
    <t>Efimishchev Mikhail</t>
  </si>
  <si>
    <t>Juniors 20-23 (27.10.1994)/24</t>
  </si>
  <si>
    <t>73,80</t>
  </si>
  <si>
    <t>Smolensk/Smolenskaya oblast</t>
  </si>
  <si>
    <t>Body Weight Category  48</t>
  </si>
  <si>
    <t>Gavrilova Aurika</t>
  </si>
  <si>
    <t>Open (21.06.1988)/30</t>
  </si>
  <si>
    <t>46,90</t>
  </si>
  <si>
    <t>100,0</t>
  </si>
  <si>
    <t>107,5</t>
  </si>
  <si>
    <t>50,0</t>
  </si>
  <si>
    <t>57,5</t>
  </si>
  <si>
    <t>Kalachyan Mariam</t>
  </si>
  <si>
    <t>Open (08.06.1991)/27</t>
  </si>
  <si>
    <t>54,70</t>
  </si>
  <si>
    <t>Samara/Samarskaya oblast</t>
  </si>
  <si>
    <t>105,0</t>
  </si>
  <si>
    <t>112,5</t>
  </si>
  <si>
    <t>Kolisnichenko Aleksey</t>
  </si>
  <si>
    <t>Juniors 20-23 (14.07.1994)/24</t>
  </si>
  <si>
    <t>48,30</t>
  </si>
  <si>
    <t>Khabarovsk/Khabarovskiy kray</t>
  </si>
  <si>
    <t>Chistyakov Sergey</t>
  </si>
  <si>
    <t>Open (29.11.1988)/30</t>
  </si>
  <si>
    <t>71,50</t>
  </si>
  <si>
    <t>Lyubertsy/Moskovskaya oblast</t>
  </si>
  <si>
    <t>117,5</t>
  </si>
  <si>
    <t>Volikov Aleksandr</t>
  </si>
  <si>
    <t>Open (03.01.1989)/29</t>
  </si>
  <si>
    <t>72,60</t>
  </si>
  <si>
    <t>125,0</t>
  </si>
  <si>
    <t>127,5</t>
  </si>
  <si>
    <t>177,5</t>
  </si>
  <si>
    <t>Polyakov Artem</t>
  </si>
  <si>
    <t>Juniors 20-23 (05.12.1994)/24</t>
  </si>
  <si>
    <t>80,90</t>
  </si>
  <si>
    <t>187,5</t>
  </si>
  <si>
    <t>122,5</t>
  </si>
  <si>
    <t>237,5</t>
  </si>
  <si>
    <t>Drozdov Nikita</t>
  </si>
  <si>
    <t>Open (18.01.1987)/31</t>
  </si>
  <si>
    <t>80,20</t>
  </si>
  <si>
    <t>95,0</t>
  </si>
  <si>
    <t>Balabin Denis</t>
  </si>
  <si>
    <t>Open (06.11.1978)/40</t>
  </si>
  <si>
    <t>88,60</t>
  </si>
  <si>
    <t>Yuzhno-Sakhalinsk/Sakhalinskaya oblast</t>
  </si>
  <si>
    <t>Gerchoglo Pavel</t>
  </si>
  <si>
    <t>Open (10.08.1989)/29</t>
  </si>
  <si>
    <t>89,50</t>
  </si>
  <si>
    <t>207,5</t>
  </si>
  <si>
    <t>152,5</t>
  </si>
  <si>
    <t>Demyanov Dmirtiy</t>
  </si>
  <si>
    <t>Open (25.07.1988)/30</t>
  </si>
  <si>
    <t>88,70</t>
  </si>
  <si>
    <t>132,5</t>
  </si>
  <si>
    <t>Saveliev Denis</t>
  </si>
  <si>
    <t>Open (14.03.1983)/35</t>
  </si>
  <si>
    <t>86,60</t>
  </si>
  <si>
    <t>Prikhodko Nikita</t>
  </si>
  <si>
    <t>Teen 16-17 (17.11.2000)/18</t>
  </si>
  <si>
    <t>95,30</t>
  </si>
  <si>
    <t>Ussuriysk/Primorskiy kray</t>
  </si>
  <si>
    <t>205,0</t>
  </si>
  <si>
    <t>Sgibnev Anton</t>
  </si>
  <si>
    <t>Open (26.04.1986)/32</t>
  </si>
  <si>
    <t>Kaminskiy Evgeniy</t>
  </si>
  <si>
    <t>Open (07.06.1991)/27</t>
  </si>
  <si>
    <t>98,10</t>
  </si>
  <si>
    <t>Shulga Denis</t>
  </si>
  <si>
    <t>Masters 40-44 (23.01.1978)/40</t>
  </si>
  <si>
    <t>94,90</t>
  </si>
  <si>
    <t>172,5</t>
  </si>
  <si>
    <t>Smirnov</t>
  </si>
  <si>
    <t>Novikov Vadim</t>
  </si>
  <si>
    <t>Teen 18-19 (12.06.1998)/20</t>
  </si>
  <si>
    <t>109,30</t>
  </si>
  <si>
    <t>Dzerzhinskiy/Moskovskaya oblast</t>
  </si>
  <si>
    <t>242,5</t>
  </si>
  <si>
    <t>Pereskokov Sergey</t>
  </si>
  <si>
    <t>Open (14.10.1987)/31</t>
  </si>
  <si>
    <t>109,70</t>
  </si>
  <si>
    <t>Tula/Tulskaya oblast</t>
  </si>
  <si>
    <t>212,5</t>
  </si>
  <si>
    <t>48</t>
  </si>
  <si>
    <t>277,5</t>
  </si>
  <si>
    <t>333,0000</t>
  </si>
  <si>
    <t>287,2260</t>
  </si>
  <si>
    <t>577,5</t>
  </si>
  <si>
    <t>325,4212</t>
  </si>
  <si>
    <t>555,0</t>
  </si>
  <si>
    <t>362,3595</t>
  </si>
  <si>
    <t>700,0</t>
  </si>
  <si>
    <t>417,7250</t>
  </si>
  <si>
    <t>665,0</t>
  </si>
  <si>
    <t>389,7897</t>
  </si>
  <si>
    <t>356,4907</t>
  </si>
  <si>
    <t>354,4406</t>
  </si>
  <si>
    <t>580,0</t>
  </si>
  <si>
    <t>326,4820</t>
  </si>
  <si>
    <t>455,0</t>
  </si>
  <si>
    <t>324,8927</t>
  </si>
  <si>
    <t>525,0</t>
  </si>
  <si>
    <t>323,8463</t>
  </si>
  <si>
    <t>440,0</t>
  </si>
  <si>
    <t>310,4860</t>
  </si>
  <si>
    <t>495,0</t>
  </si>
  <si>
    <t>309,6225</t>
  </si>
  <si>
    <t>420,0</t>
  </si>
  <si>
    <t>275,8140</t>
  </si>
  <si>
    <t>505,0</t>
  </si>
  <si>
    <t>300,5760</t>
  </si>
  <si>
    <t>Kuznetsova Kseniya</t>
  </si>
  <si>
    <t>Open (01.11.1989)/29</t>
  </si>
  <si>
    <t>47,70</t>
  </si>
  <si>
    <t>72,5</t>
  </si>
  <si>
    <t>Efimova Anna</t>
  </si>
  <si>
    <t>Open (22.12.1992)/26</t>
  </si>
  <si>
    <t>51,85</t>
  </si>
  <si>
    <t>Akuna Matata</t>
  </si>
  <si>
    <t>Egorova Anastasiya</t>
  </si>
  <si>
    <t>Open (28.07.1993)/25</t>
  </si>
  <si>
    <t>55,30</t>
  </si>
  <si>
    <t>40,0</t>
  </si>
  <si>
    <t>Lukyanova Marina</t>
  </si>
  <si>
    <t>Open (09.02.1972)/46</t>
  </si>
  <si>
    <t>65,60</t>
  </si>
  <si>
    <t>Suntsova Marina</t>
  </si>
  <si>
    <t>Open (23.12.1985)/33</t>
  </si>
  <si>
    <t>72,50</t>
  </si>
  <si>
    <t>Body Weight Category  90+</t>
  </si>
  <si>
    <t>Sivkovich Tatyana</t>
  </si>
  <si>
    <t>Masters 50-54 (03.12.1965)/53</t>
  </si>
  <si>
    <t>101,40</t>
  </si>
  <si>
    <t>Klimovitskiy Dmirtiy</t>
  </si>
  <si>
    <t>Juniors 20-23 (13.08.1994)/24</t>
  </si>
  <si>
    <t>63,70</t>
  </si>
  <si>
    <t>Mikheev Denis</t>
  </si>
  <si>
    <t>Teen 16-17 (14.11.2000)/18</t>
  </si>
  <si>
    <t>73,10</t>
  </si>
  <si>
    <t>Chokheli Vladislav</t>
  </si>
  <si>
    <t>Teen 16-17 (24.06.2000)/18</t>
  </si>
  <si>
    <t>71,80</t>
  </si>
  <si>
    <t>Koptev</t>
  </si>
  <si>
    <t>Pavlov Vladimir</t>
  </si>
  <si>
    <t>Teen 18-19 (20.09.1999)/19</t>
  </si>
  <si>
    <t>PavlovTeam</t>
  </si>
  <si>
    <t>Kurbasov Aleksandr</t>
  </si>
  <si>
    <t>Juniors 20-23 (20.10.1995)/23</t>
  </si>
  <si>
    <t>72,70</t>
  </si>
  <si>
    <t>Pismenskiy Aleksandr</t>
  </si>
  <si>
    <t>Juniors 20-23 (20.03.1998)/20</t>
  </si>
  <si>
    <t>69,60</t>
  </si>
  <si>
    <t>Krasnoyarsk/Krasnoyarskiy kray</t>
  </si>
  <si>
    <t>Izmaylov Renat</t>
  </si>
  <si>
    <t>Open (01.12.1993)/25</t>
  </si>
  <si>
    <t>74,70</t>
  </si>
  <si>
    <t>Radushko Sergey</t>
  </si>
  <si>
    <t>Open (30.12.1989)/29</t>
  </si>
  <si>
    <t>73,70</t>
  </si>
  <si>
    <t>Kirzhach/Vladimirskaya oblast</t>
  </si>
  <si>
    <t>Chesnokov Dmitriy</t>
  </si>
  <si>
    <t>Open (13.07.1988)/30</t>
  </si>
  <si>
    <t>74,90</t>
  </si>
  <si>
    <t>Putintsev Maksim</t>
  </si>
  <si>
    <t>Open (23.04.1985)/33</t>
  </si>
  <si>
    <t>Pronkin Aleksandr</t>
  </si>
  <si>
    <t>Open (01.12.1987)/31</t>
  </si>
  <si>
    <t>Up fitness</t>
  </si>
  <si>
    <t>Balashikha/Moskovskaya oblast</t>
  </si>
  <si>
    <t>Mardonov Ruslan</t>
  </si>
  <si>
    <t>Kozlov Dmitriy</t>
  </si>
  <si>
    <t>Open (25.09.1990)/28</t>
  </si>
  <si>
    <t>73,50</t>
  </si>
  <si>
    <t>Istra/Moskovskaya oblast</t>
  </si>
  <si>
    <t>Avdonin Denis</t>
  </si>
  <si>
    <t>Open (15.09.1990)/28</t>
  </si>
  <si>
    <t>74,30</t>
  </si>
  <si>
    <t>Ryleyevo/Moskovska obl.</t>
  </si>
  <si>
    <t>Chernikov Oleg</t>
  </si>
  <si>
    <t>Open (11.04.1992)/26</t>
  </si>
  <si>
    <t>72,30</t>
  </si>
  <si>
    <t>Afonin Maksim</t>
  </si>
  <si>
    <t>Masters 40-44 (22.07.1975)/43</t>
  </si>
  <si>
    <t>74,50</t>
  </si>
  <si>
    <t>Devaykin Valeriy</t>
  </si>
  <si>
    <t>Masters 40-44 (22.11.1974)/44</t>
  </si>
  <si>
    <t>74,40</t>
  </si>
  <si>
    <t>Rapoports Mihail</t>
  </si>
  <si>
    <t>Teen 18-19 (07.04.1999)/19</t>
  </si>
  <si>
    <t>79,30</t>
  </si>
  <si>
    <t>Riga/Latviya</t>
  </si>
  <si>
    <t>Chernyavskiy Timofey</t>
  </si>
  <si>
    <t>Open (08.09.1985)/33</t>
  </si>
  <si>
    <t>80,30</t>
  </si>
  <si>
    <t>Novyy-Urengoy/Yamalo-nenetskiy avtonomnyy okrug</t>
  </si>
  <si>
    <t>Avdyunin Aleksey</t>
  </si>
  <si>
    <t>Open (23.04.1987)/31</t>
  </si>
  <si>
    <t>Vorobyev Sergey</t>
  </si>
  <si>
    <t>Open (26.04.1980)/38</t>
  </si>
  <si>
    <t>80,80</t>
  </si>
  <si>
    <t>Nikulin Dmirtiy</t>
  </si>
  <si>
    <t>Open (30.09.1980)/38</t>
  </si>
  <si>
    <t>Sankt-Peterburg</t>
  </si>
  <si>
    <t>102,5</t>
  </si>
  <si>
    <t>Izmaylov Ruslan</t>
  </si>
  <si>
    <t>Juniors 20-23 (18.01.1997)/21</t>
  </si>
  <si>
    <t>88,90</t>
  </si>
  <si>
    <t>Sayej Jeries</t>
  </si>
  <si>
    <t>Open (02.03.1987)/31</t>
  </si>
  <si>
    <t>86,80</t>
  </si>
  <si>
    <t>Trishin Evgeniy</t>
  </si>
  <si>
    <t>Open (20.03.1986)/32</t>
  </si>
  <si>
    <t>89,80</t>
  </si>
  <si>
    <t>Sverdlov Dmitriy</t>
  </si>
  <si>
    <t>Open (20.04.1990)/28</t>
  </si>
  <si>
    <t>86,10</t>
  </si>
  <si>
    <t>Musin Rustam</t>
  </si>
  <si>
    <t>Lude Nikolay</t>
  </si>
  <si>
    <t>Open (19.09.1987)/31</t>
  </si>
  <si>
    <t>84,10</t>
  </si>
  <si>
    <t>Tereshchenko Dmitriy</t>
  </si>
  <si>
    <t>Open (07.06.1989)/29</t>
  </si>
  <si>
    <t>167,5</t>
  </si>
  <si>
    <t>Bashkevich Maksim</t>
  </si>
  <si>
    <t>Masters 40-44 (02.09.1975)/43</t>
  </si>
  <si>
    <t>Volkov Vyacheslav</t>
  </si>
  <si>
    <t>Masters 45-49 (13.11.1971)/47</t>
  </si>
  <si>
    <t>89,30</t>
  </si>
  <si>
    <t>Shchetinin Igor</t>
  </si>
  <si>
    <t>Juniors 20-23 (16.07.1994)/24</t>
  </si>
  <si>
    <t>99,50</t>
  </si>
  <si>
    <t>Lisenko Vyacheslav</t>
  </si>
  <si>
    <t>Open (16.10.1990)/28</t>
  </si>
  <si>
    <t>99,70</t>
  </si>
  <si>
    <t>Soluyanov Mikhail</t>
  </si>
  <si>
    <t>Open (02.09.1989)/29</t>
  </si>
  <si>
    <t>Chekhov/Moskovskaya oblast</t>
  </si>
  <si>
    <t>Chernyavskiy Dmitriy</t>
  </si>
  <si>
    <t>96,90</t>
  </si>
  <si>
    <t>Novyy Urengoy/Yamalo-Nenetskiy avt. okr.</t>
  </si>
  <si>
    <t>Yakushev Konstantin</t>
  </si>
  <si>
    <t>Masters 40-44 (03.05.1975)/43</t>
  </si>
  <si>
    <t>Serov Aleksandr</t>
  </si>
  <si>
    <t>Masters 40-44 (25.09.1974)/44</t>
  </si>
  <si>
    <t>95,90</t>
  </si>
  <si>
    <t>Kulemin Andrey</t>
  </si>
  <si>
    <t>Masters 50-54 (28.08.1964)/54</t>
  </si>
  <si>
    <t>98,90</t>
  </si>
  <si>
    <t>Kozmodemyansk/Mariy El</t>
  </si>
  <si>
    <t>Kalinovskiy Dmitriy</t>
  </si>
  <si>
    <t>Masters 50-54 (27.04.1967)/51</t>
  </si>
  <si>
    <t>98,60</t>
  </si>
  <si>
    <t>Smishlyaev Victor</t>
  </si>
  <si>
    <t>Masters 55-59 (20.05.1962)/56</t>
  </si>
  <si>
    <t>96,40</t>
  </si>
  <si>
    <t>Polyakov Maksim</t>
  </si>
  <si>
    <t>Open (30.05.1983)/35</t>
  </si>
  <si>
    <t>108,50</t>
  </si>
  <si>
    <t>Gaydukov Aleksandr</t>
  </si>
  <si>
    <t>Open (19.09.1992)/26</t>
  </si>
  <si>
    <t>108,00</t>
  </si>
  <si>
    <t>Gruntov Victor</t>
  </si>
  <si>
    <t>Masters 45-49 (27.05.1972)/46</t>
  </si>
  <si>
    <t>Kireev Dmitriy</t>
  </si>
  <si>
    <t>Masters 45-49 (28.08.1969)/49</t>
  </si>
  <si>
    <t>Efremov Vladimir</t>
  </si>
  <si>
    <t>Masters 45-49 (09.11.1971)/47</t>
  </si>
  <si>
    <t>104,40</t>
  </si>
  <si>
    <t>Verzhanovskiy Sergey</t>
  </si>
  <si>
    <t>Masters 50-54 (02.07.1967)/51</t>
  </si>
  <si>
    <t>102,80</t>
  </si>
  <si>
    <t>Suvorov Yuriy</t>
  </si>
  <si>
    <t>Masters 50-54 (22.11.1965)/53</t>
  </si>
  <si>
    <t>108,20</t>
  </si>
  <si>
    <t>Agapov Nikolay</t>
  </si>
  <si>
    <t>Masters 50-54 (08.08.1967)/51</t>
  </si>
  <si>
    <t>107,60</t>
  </si>
  <si>
    <t>Nikolaev Mikhail</t>
  </si>
  <si>
    <t>Open (27.05.1961)/57</t>
  </si>
  <si>
    <t>121,50</t>
  </si>
  <si>
    <t>Russia</t>
  </si>
  <si>
    <t>203,0</t>
  </si>
  <si>
    <t>Niftullayev Firudin</t>
  </si>
  <si>
    <t>Open (19.12.1988)/30</t>
  </si>
  <si>
    <t>110,60</t>
  </si>
  <si>
    <t>Azerbaydzhan/</t>
  </si>
  <si>
    <t>Bichkov Igor</t>
  </si>
  <si>
    <t>Masters 45-49 (18.06.1970)/48</t>
  </si>
  <si>
    <t>114,80</t>
  </si>
  <si>
    <t>Chubarov Vladimir</t>
  </si>
  <si>
    <t>Masters 50-54 (03.04.1964)/54</t>
  </si>
  <si>
    <t>122,10</t>
  </si>
  <si>
    <t>Masters 55-59 (27.05.1961)/57</t>
  </si>
  <si>
    <t>Body Weight Category  140+</t>
  </si>
  <si>
    <t>Trofimov Boris</t>
  </si>
  <si>
    <t>Masters 45-49 (21.03.1972)/46</t>
  </si>
  <si>
    <t>152,20</t>
  </si>
  <si>
    <t>Gukovo/Rostovskaya oblast</t>
  </si>
  <si>
    <t>91,9950</t>
  </si>
  <si>
    <t>82,9220</t>
  </si>
  <si>
    <t>55,6075</t>
  </si>
  <si>
    <t>39,5437</t>
  </si>
  <si>
    <t>Masters 50-54</t>
  </si>
  <si>
    <t>90+</t>
  </si>
  <si>
    <t>74,6375</t>
  </si>
  <si>
    <t>100,9169</t>
  </si>
  <si>
    <t>Teen 16-17</t>
  </si>
  <si>
    <t>84,2280</t>
  </si>
  <si>
    <t>64,0530</t>
  </si>
  <si>
    <t>62,8470</t>
  </si>
  <si>
    <t>101,9462</t>
  </si>
  <si>
    <t>89,3273</t>
  </si>
  <si>
    <t>86,6140</t>
  </si>
  <si>
    <t>79,2956</t>
  </si>
  <si>
    <t>76,6133</t>
  </si>
  <si>
    <t>114,8262</t>
  </si>
  <si>
    <t>125</t>
  </si>
  <si>
    <t>108,1176</t>
  </si>
  <si>
    <t>107,1330</t>
  </si>
  <si>
    <t>103,0673</t>
  </si>
  <si>
    <t>94,9575</t>
  </si>
  <si>
    <t>94,1692</t>
  </si>
  <si>
    <t>93,1280</t>
  </si>
  <si>
    <t>93,0420</t>
  </si>
  <si>
    <t>90,3520</t>
  </si>
  <si>
    <t>89,5650</t>
  </si>
  <si>
    <t>87,6525</t>
  </si>
  <si>
    <t>85,1565</t>
  </si>
  <si>
    <t>83,9009</t>
  </si>
  <si>
    <t>83,0020</t>
  </si>
  <si>
    <t>82,9139</t>
  </si>
  <si>
    <t>82,5160</t>
  </si>
  <si>
    <t>82,1325</t>
  </si>
  <si>
    <t>81,6813</t>
  </si>
  <si>
    <t>81,4686</t>
  </si>
  <si>
    <t>81,1695</t>
  </si>
  <si>
    <t>75,3240</t>
  </si>
  <si>
    <t>74,9580</t>
  </si>
  <si>
    <t>67,6830</t>
  </si>
  <si>
    <t>135,8446</t>
  </si>
  <si>
    <t>140+</t>
  </si>
  <si>
    <t>135,0698</t>
  </si>
  <si>
    <t>113,9699</t>
  </si>
  <si>
    <t>113,7062</t>
  </si>
  <si>
    <t>112,3712</t>
  </si>
  <si>
    <t>111,9379</t>
  </si>
  <si>
    <t>111,5777</t>
  </si>
  <si>
    <t>108,5579</t>
  </si>
  <si>
    <t>107,1486</t>
  </si>
  <si>
    <t>106,7398</t>
  </si>
  <si>
    <t>103,8586</t>
  </si>
  <si>
    <t>99,1161</t>
  </si>
  <si>
    <t>88,5489</t>
  </si>
  <si>
    <t>82,9302</t>
  </si>
  <si>
    <t>80,1097</t>
  </si>
  <si>
    <t>79,3793</t>
  </si>
  <si>
    <t>77,1380</t>
  </si>
  <si>
    <t>67,8416</t>
  </si>
  <si>
    <t>Nevezhin Stanislav</t>
  </si>
  <si>
    <t>98,00</t>
  </si>
  <si>
    <t>Papikyan Siranush</t>
  </si>
  <si>
    <t>Open (02.04.1994)/24</t>
  </si>
  <si>
    <t>62,30</t>
  </si>
  <si>
    <t>Berdnikov Vladimir</t>
  </si>
  <si>
    <t>Open (25.02.1987)/31</t>
  </si>
  <si>
    <t>75,00</t>
  </si>
  <si>
    <t>Kucheryabenkov A.V.</t>
  </si>
  <si>
    <t>Poryadin Valeriy</t>
  </si>
  <si>
    <t>Open (20.05.1966)/52</t>
  </si>
  <si>
    <t>Belgorod/Belgorodskaya oblast</t>
  </si>
  <si>
    <t>Masters 50-54 (20.05.1966)/52</t>
  </si>
  <si>
    <t>Kravchenko Evgeniy</t>
  </si>
  <si>
    <t>Open (03.11.1986)/32</t>
  </si>
  <si>
    <t>350,0</t>
  </si>
  <si>
    <t>Kalita Igor</t>
  </si>
  <si>
    <t>Ivanov Aleksandr</t>
  </si>
  <si>
    <t>Masters 50-54 (27.03.1968)/50</t>
  </si>
  <si>
    <t>92,40</t>
  </si>
  <si>
    <t>Yakutsk/Yakutiya</t>
  </si>
  <si>
    <t>Nefyodof Sergey</t>
  </si>
  <si>
    <t>Open (14.06.1980)/38</t>
  </si>
  <si>
    <t>103,90</t>
  </si>
  <si>
    <t>118,00</t>
  </si>
  <si>
    <t>295,0</t>
  </si>
  <si>
    <t>Demyanchuk Yuriy</t>
  </si>
  <si>
    <t>Open (03.10.1978)/40</t>
  </si>
  <si>
    <t>131,20</t>
  </si>
  <si>
    <t>Syzran/Samarskaya oblast</t>
  </si>
  <si>
    <t>143,7525</t>
  </si>
  <si>
    <t>168,6650</t>
  </si>
  <si>
    <t>161,7450</t>
  </si>
  <si>
    <t>145,9115</t>
  </si>
  <si>
    <t>144,5955</t>
  </si>
  <si>
    <t>131,8702</t>
  </si>
  <si>
    <t>126,0050</t>
  </si>
  <si>
    <t>173,7993</t>
  </si>
  <si>
    <t>153,6288</t>
  </si>
  <si>
    <t>139,7544</t>
  </si>
  <si>
    <t>118,3571</t>
  </si>
  <si>
    <t>232,5</t>
  </si>
  <si>
    <t>142,6039</t>
  </si>
  <si>
    <t>166,1335</t>
  </si>
  <si>
    <t>Enina Elena</t>
  </si>
  <si>
    <t>Open (10.05.1989)/29</t>
  </si>
  <si>
    <t>51,90</t>
  </si>
  <si>
    <t>Kursk/Kurskaya oblast</t>
  </si>
  <si>
    <t>143,0</t>
  </si>
  <si>
    <t>Ataniyazova Tatyana</t>
  </si>
  <si>
    <t>Open (23.12.1983)/35</t>
  </si>
  <si>
    <t>51,20</t>
  </si>
  <si>
    <t>Kubinka/Moskovskaya oblast</t>
  </si>
  <si>
    <t>Omelchenko Ludmila</t>
  </si>
  <si>
    <t>Masters 40-44 (13.09.1976)/42</t>
  </si>
  <si>
    <t>Migaeva Lidiya</t>
  </si>
  <si>
    <t>Masters 40-44 (20.10.1974)/44</t>
  </si>
  <si>
    <t>55,10</t>
  </si>
  <si>
    <t>Body Weight Category  60</t>
  </si>
  <si>
    <t>Bikova Aleksandra</t>
  </si>
  <si>
    <t>Open (30.06.1989)/29</t>
  </si>
  <si>
    <t>59,10</t>
  </si>
  <si>
    <t>Agulova Mariya</t>
  </si>
  <si>
    <t>Teen 18-19 (10.12.1999)/19</t>
  </si>
  <si>
    <t>64,50</t>
  </si>
  <si>
    <t>Kornienkova Marina</t>
  </si>
  <si>
    <t>Juniors 20-23 (16.12.1996)/22</t>
  </si>
  <si>
    <t>65,00</t>
  </si>
  <si>
    <t>Polyakova Elizaveta</t>
  </si>
  <si>
    <t>Teen 18-19 (12.11.1998)/20</t>
  </si>
  <si>
    <t>69,00</t>
  </si>
  <si>
    <t>Platonova Kseniya</t>
  </si>
  <si>
    <t>Open (17.07.1984)/34</t>
  </si>
  <si>
    <t>Palii Marina</t>
  </si>
  <si>
    <t>Open (25.08.1990)/28</t>
  </si>
  <si>
    <t>100,00</t>
  </si>
  <si>
    <t>Rumyantsev Aleksandr</t>
  </si>
  <si>
    <t>Masters 50-54 (22.08.1966)/52</t>
  </si>
  <si>
    <t>67,20</t>
  </si>
  <si>
    <t>Trukhin Dmitriy</t>
  </si>
  <si>
    <t>Teen 16-17 (01.10.2001)/17</t>
  </si>
  <si>
    <t>Pichiuz Roman</t>
  </si>
  <si>
    <t>Juniors 20-23 (11.01.1997)/21</t>
  </si>
  <si>
    <t>Buyanov Mikhail</t>
  </si>
  <si>
    <t>Masters 40-44 (18.11.1974)/44</t>
  </si>
  <si>
    <t>222,5</t>
  </si>
  <si>
    <t>Yakovlev Roman</t>
  </si>
  <si>
    <t>Juniors 20-23 (12.07.1996)/22</t>
  </si>
  <si>
    <t>77,40</t>
  </si>
  <si>
    <t>Mizenkov Mikhail</t>
  </si>
  <si>
    <t>Open (12.02.1985)/33</t>
  </si>
  <si>
    <t>82,40</t>
  </si>
  <si>
    <t>Nersisyan Armen</t>
  </si>
  <si>
    <t>Open (02.06.1994)/24</t>
  </si>
  <si>
    <t>81,50</t>
  </si>
  <si>
    <t>Kopirin Ivan</t>
  </si>
  <si>
    <t>Masters 50-54 (25.10.1967)/51</t>
  </si>
  <si>
    <t>Skokin Victor</t>
  </si>
  <si>
    <t>Masters 60-64 (20.06.1957)/61</t>
  </si>
  <si>
    <t>78,40</t>
  </si>
  <si>
    <t>Voskresensk/Moskovskaya oblast</t>
  </si>
  <si>
    <t>Karapetyan Ogannes</t>
  </si>
  <si>
    <t>Open (14.11.1985)/33</t>
  </si>
  <si>
    <t>90,00</t>
  </si>
  <si>
    <t>Astrakhan/Astrakhanskaya oblast</t>
  </si>
  <si>
    <t>285,0</t>
  </si>
  <si>
    <t>Sarkisov Ruben</t>
  </si>
  <si>
    <t>Chirkov Nikita</t>
  </si>
  <si>
    <t>Open (29.06.1987)/31</t>
  </si>
  <si>
    <t>Kapkov Sergey</t>
  </si>
  <si>
    <t>Open (27.03.1989)/29</t>
  </si>
  <si>
    <t>Kornilenko Aleksandr</t>
  </si>
  <si>
    <t>Masters 40-44 (27.09.1975)/43</t>
  </si>
  <si>
    <t>88,30</t>
  </si>
  <si>
    <t>Zavizistup Andrey</t>
  </si>
  <si>
    <t>Masters 45-49 (02.03.1973)/45</t>
  </si>
  <si>
    <t>Safonovo/Smolenskaya oblast</t>
  </si>
  <si>
    <t>Open (23.06.1978)/40</t>
  </si>
  <si>
    <t>107,40</t>
  </si>
  <si>
    <t>Smirnov Aleksandr</t>
  </si>
  <si>
    <t>Masters 40-44 (21.04.1974)/44</t>
  </si>
  <si>
    <t>109,00</t>
  </si>
  <si>
    <t>Getsitskiy Pavel</t>
  </si>
  <si>
    <t>Open (18.06.1991)/27</t>
  </si>
  <si>
    <t>131,00</t>
  </si>
  <si>
    <t>Novosibirsk/Novosibirskaya oblast</t>
  </si>
  <si>
    <t>308,0</t>
  </si>
  <si>
    <t>76,9147</t>
  </si>
  <si>
    <t>75,2505</t>
  </si>
  <si>
    <t>120,4645</t>
  </si>
  <si>
    <t>155,3020</t>
  </si>
  <si>
    <t>107,1829</t>
  </si>
  <si>
    <t>98,3250</t>
  </si>
  <si>
    <t>93,0345</t>
  </si>
  <si>
    <t>60</t>
  </si>
  <si>
    <t>79,9760</t>
  </si>
  <si>
    <t>114,4797</t>
  </si>
  <si>
    <t>112,8160</t>
  </si>
  <si>
    <t>132,5345</t>
  </si>
  <si>
    <t>129,5621</t>
  </si>
  <si>
    <t>174,3773</t>
  </si>
  <si>
    <t>151,0096</t>
  </si>
  <si>
    <t>142,7321</t>
  </si>
  <si>
    <t>137,0711</t>
  </si>
  <si>
    <t>135,9480</t>
  </si>
  <si>
    <t>131,7365</t>
  </si>
  <si>
    <t>130,6327</t>
  </si>
  <si>
    <t>129,9500</t>
  </si>
  <si>
    <t>104,6690</t>
  </si>
  <si>
    <t>198,8660</t>
  </si>
  <si>
    <t>163,7199</t>
  </si>
  <si>
    <t>159,0528</t>
  </si>
  <si>
    <t>147,3447</t>
  </si>
  <si>
    <t>147,2274</t>
  </si>
  <si>
    <t>136,8984</t>
  </si>
  <si>
    <t>135,2860</t>
  </si>
  <si>
    <t>126,1638</t>
  </si>
  <si>
    <t>Zinyagin Aleksey</t>
  </si>
  <si>
    <t>Open (26.01.1988)/30</t>
  </si>
  <si>
    <t>97,70</t>
  </si>
  <si>
    <t>146,7875</t>
  </si>
  <si>
    <t>118,8300</t>
  </si>
  <si>
    <t>51,80</t>
  </si>
  <si>
    <t>Kurkin Dmitriy</t>
  </si>
  <si>
    <t>Teen 16-17 (27.03.2001)/17</t>
  </si>
  <si>
    <t>62,10</t>
  </si>
  <si>
    <t>Arakelyan Davit</t>
  </si>
  <si>
    <t>Open (31.03.1989)/29</t>
  </si>
  <si>
    <t>Armeniya</t>
  </si>
  <si>
    <t>230,5325</t>
  </si>
  <si>
    <t>375,0</t>
  </si>
  <si>
    <t>302,2688</t>
  </si>
  <si>
    <t>139,8660</t>
  </si>
  <si>
    <t>Kanaev Aleksandr</t>
  </si>
  <si>
    <t>Open (06.08.1988)/30</t>
  </si>
  <si>
    <t>117,10</t>
  </si>
  <si>
    <t>340,0</t>
  </si>
  <si>
    <t>177,2640</t>
  </si>
  <si>
    <t>139,0793</t>
  </si>
  <si>
    <t>Open Europe Cup AWPC Powerlifting Classic_x000D_
02.Июнь.2018</t>
  </si>
  <si>
    <t>Open Europe Cup AWPC raw powerlifting_x000D_
02.Июнь.2018</t>
  </si>
  <si>
    <t>Open Europe Cup AWPC raw benchpress_x000D_
02.Июнь.2018</t>
  </si>
  <si>
    <t>Open Europe Cup AWPC single ply benchpress_x000D_
02.Июнь.2018</t>
  </si>
  <si>
    <t>Open Europe Cup AWPC soft benchpress_x000D_
02.Июнь.2018</t>
  </si>
  <si>
    <t>Open Europe Cup AWPC raw deadlift_x000D_
02.Июнь.2018</t>
  </si>
  <si>
    <t>Open Europe Cup AWPC single ply deadlift_x000D_
02.Июнь.2018</t>
  </si>
  <si>
    <t>Open Europe Cup AWPC multy ply deadlift_x000D_
02.Июнь.2018</t>
  </si>
  <si>
    <t>Open Europe Cup WPC Powerlifting Classic_x000D_
02.Июнь.2018</t>
  </si>
  <si>
    <t>Open Europe Cup WPC raw powerlifting_x000D_
02.Июнь.2018</t>
  </si>
  <si>
    <t>Open Europe Cup WPC raw benchpress_x000D_
02.Июнь.2018</t>
  </si>
  <si>
    <t>Open Europe Cup WPC single ply benchpress_x000D_
02.Июнь.2018</t>
  </si>
  <si>
    <t>Open Europe Cup WPC multi ply benchpress_x000D_
02.Июнь.2018</t>
  </si>
  <si>
    <t>Open Europe Cup WPC soft benchpress_x000D_
02.Июнь.2018</t>
  </si>
  <si>
    <t>Open Europe Cup WPC raw deadlift_x000D_
02.Июнь.2018</t>
  </si>
  <si>
    <t>Open Europe Cup WPC single ply deadlift_x000D_
02.Июнь.2018</t>
  </si>
  <si>
    <t>Open Europe cup WPC Folk benchpress single body weight
02.Июнь.2018</t>
  </si>
  <si>
    <t>Bith date
Age Categoty</t>
  </si>
  <si>
    <t>Вес</t>
  </si>
  <si>
    <t>Кол-во</t>
  </si>
  <si>
    <t>Shevaturin Pavel</t>
  </si>
  <si>
    <t>Teen 18-19 (09.07.1998)/20</t>
  </si>
  <si>
    <t>70,00</t>
  </si>
  <si>
    <t>Naro-Fominsk/Moskovskaya oblast</t>
  </si>
  <si>
    <t>31,0</t>
  </si>
  <si>
    <t>Shevaturin P.V.</t>
  </si>
  <si>
    <t>Egorov Alexandr</t>
  </si>
  <si>
    <t>Open (21.03.1983)/35</t>
  </si>
  <si>
    <t>71,40</t>
  </si>
  <si>
    <t>Lukhovitsy/Moskovskaya oblast</t>
  </si>
  <si>
    <t>Petruk Aleksandr</t>
  </si>
  <si>
    <t>Open (18.09.1978)/40</t>
  </si>
  <si>
    <t>71,90</t>
  </si>
  <si>
    <t>Vladivostok/Primorskiy kray</t>
  </si>
  <si>
    <t>46,0</t>
  </si>
  <si>
    <t>Lusenko Artem</t>
  </si>
  <si>
    <t>Open (30.07.1990)/28</t>
  </si>
  <si>
    <t>68,50</t>
  </si>
  <si>
    <t>Barnaul/Altayskiy kray</t>
  </si>
  <si>
    <t>41,0</t>
  </si>
  <si>
    <t>Sharandov Oleg</t>
  </si>
  <si>
    <t>Masters 40-44 (19.06.1973)/45</t>
  </si>
  <si>
    <t>30,0</t>
  </si>
  <si>
    <t>Feldberg Aleksandr</t>
  </si>
  <si>
    <t>Open (23.07.1988)/30</t>
  </si>
  <si>
    <t>79,50</t>
  </si>
  <si>
    <t>20,0</t>
  </si>
  <si>
    <t>Belkin Kirill</t>
  </si>
  <si>
    <t>Open (21.08.1988)/30</t>
  </si>
  <si>
    <t>90,70</t>
  </si>
  <si>
    <t>37,0</t>
  </si>
  <si>
    <t>Mosin Mihail</t>
  </si>
  <si>
    <t>Masters 40-44 (08.02.1977)/41</t>
  </si>
  <si>
    <t>92,30</t>
  </si>
  <si>
    <t>38,0</t>
  </si>
  <si>
    <t>Gorshkov Aleksandr</t>
  </si>
  <si>
    <t>Masters 50-54 (13.05.1967)/51</t>
  </si>
  <si>
    <t>97,30</t>
  </si>
  <si>
    <t>97,5</t>
  </si>
  <si>
    <t>45,0</t>
  </si>
  <si>
    <t>Pavlov Igor</t>
  </si>
  <si>
    <t>Masters 40-44 (23.02.1978)/40</t>
  </si>
  <si>
    <t>103,40</t>
  </si>
  <si>
    <t>24,0</t>
  </si>
  <si>
    <t>Mishta Yuriy</t>
  </si>
  <si>
    <t>Masters 55-59 (24.11.1958)/60</t>
  </si>
  <si>
    <t>120,90</t>
  </si>
  <si>
    <t>17,0</t>
  </si>
  <si>
    <t>Myuller Sergey</t>
  </si>
  <si>
    <t>Open (17.05.1976)/42</t>
  </si>
  <si>
    <t>137,40</t>
  </si>
  <si>
    <t>21,0</t>
  </si>
  <si>
    <t>2170,0</t>
  </si>
  <si>
    <t>1575,9625</t>
  </si>
  <si>
    <t>4350,0</t>
  </si>
  <si>
    <t>3109,5975</t>
  </si>
  <si>
    <t>3335,0</t>
  </si>
  <si>
    <t>2371,0183</t>
  </si>
  <si>
    <t>2870,0</t>
  </si>
  <si>
    <t>2121,6475</t>
  </si>
  <si>
    <t>3422,5</t>
  </si>
  <si>
    <t>2085,3293</t>
  </si>
  <si>
    <t>2887,5</t>
  </si>
  <si>
    <t>1540,1925</t>
  </si>
  <si>
    <t>1600,0</t>
  </si>
  <si>
    <t>1056,9600</t>
  </si>
  <si>
    <t>4387,5</t>
  </si>
  <si>
    <t>2960,3460</t>
  </si>
  <si>
    <t>3515,0</t>
  </si>
  <si>
    <t>2143,0480</t>
  </si>
  <si>
    <t>2250,0</t>
  </si>
  <si>
    <t>1615,8547</t>
  </si>
  <si>
    <t>2082,5</t>
  </si>
  <si>
    <t>1506,1682</t>
  </si>
  <si>
    <t>2520,0</t>
  </si>
  <si>
    <t>1445,9761</t>
  </si>
  <si>
    <t>Open Europe cup AWPC  Folk benchpress single body weight_x000D_
02.Июнь.2018</t>
  </si>
  <si>
    <t>Deev Aleksandr</t>
  </si>
  <si>
    <t>Open (22.07.1986)/32</t>
  </si>
  <si>
    <t>72,10</t>
  </si>
  <si>
    <t>Malinin Aleksei</t>
  </si>
  <si>
    <t>Open (16.09.1974)/44</t>
  </si>
  <si>
    <t>75,70</t>
  </si>
  <si>
    <t>Estoniya</t>
  </si>
  <si>
    <t>36,0</t>
  </si>
  <si>
    <t>33,0</t>
  </si>
  <si>
    <t>Masters 40-44 (16.09.1974)/44</t>
  </si>
  <si>
    <t>Terekhin Yuriy</t>
  </si>
  <si>
    <t>Open (23.05.1975)/43</t>
  </si>
  <si>
    <t>83,80</t>
  </si>
  <si>
    <t>Yaroshetskiy Vladimir</t>
  </si>
  <si>
    <t>Open (06.06.1982)/36</t>
  </si>
  <si>
    <t>91,30</t>
  </si>
  <si>
    <t>Suslin Andrey</t>
  </si>
  <si>
    <t>Masters 50-54 (21.04.1968)/50</t>
  </si>
  <si>
    <t>91,20</t>
  </si>
  <si>
    <t>3,0</t>
  </si>
  <si>
    <t>2790,0</t>
  </si>
  <si>
    <t>1907,9415</t>
  </si>
  <si>
    <t>2805,0</t>
  </si>
  <si>
    <t>1790,1510</t>
  </si>
  <si>
    <t>2722,5</t>
  </si>
  <si>
    <t>1786,3683</t>
  </si>
  <si>
    <t>2220,0</t>
  </si>
  <si>
    <t>1347,7620</t>
  </si>
  <si>
    <t>1657,5</t>
  </si>
  <si>
    <t>976,9305</t>
  </si>
  <si>
    <t>1232,5</t>
  </si>
  <si>
    <t>874,3971</t>
  </si>
  <si>
    <t>1967,0877</t>
  </si>
  <si>
    <t>2200,0</t>
  </si>
  <si>
    <t>1448,6075</t>
  </si>
  <si>
    <t>Open Europe cup WPC Folk benchpress half of  body weight
02.Июнь.2018</t>
  </si>
  <si>
    <t>Chekhovskaya Elena</t>
  </si>
  <si>
    <t>Masters 40-44 (11.04.1978)/40</t>
  </si>
  <si>
    <t>54,30</t>
  </si>
  <si>
    <t>27,5</t>
  </si>
  <si>
    <t>1017,5</t>
  </si>
  <si>
    <t>1088,8267</t>
  </si>
  <si>
    <t>Open Europe cup AWPC Folk benchpress half of  body weight_x000D_
02.Июнь.2018</t>
  </si>
  <si>
    <t>Lushnikova Larisa</t>
  </si>
  <si>
    <t>Teen 16-17 (17.03.2001)/17</t>
  </si>
  <si>
    <t>49,90</t>
  </si>
  <si>
    <t>UP fitness</t>
  </si>
  <si>
    <t>25,0</t>
  </si>
  <si>
    <t>Karnaushkina Irina</t>
  </si>
  <si>
    <t>Masters 45-49 (30.06.1972)/46</t>
  </si>
  <si>
    <t>49,60</t>
  </si>
  <si>
    <t>Filonenko Ivan</t>
  </si>
  <si>
    <t>950,0</t>
  </si>
  <si>
    <t>1086,8950</t>
  </si>
  <si>
    <t>15750,0</t>
  </si>
  <si>
    <t>19100,3796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</si>
</sst>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24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left"/>
    </xf>
    <xf numFmtId="49" fontId="0" fillId="0" borderId="15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49" fontId="8" fillId="0" borderId="12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8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49" fontId="8" fillId="0" borderId="17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indent="1"/>
    </xf>
    <xf numFmtId="49" fontId="11" fillId="0" borderId="0" xfId="0" applyNumberFormat="1" applyFont="1" applyFill="1" applyBorder="1" applyAlignment="1">
      <alignment horizontal="left" indent="1"/>
    </xf>
    <xf numFmtId="49" fontId="12" fillId="0" borderId="0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0" fillId="0" borderId="15" xfId="0" applyNumberFormat="1" applyBorder="1"/>
    <xf numFmtId="49" fontId="8" fillId="0" borderId="15" xfId="0" applyNumberFormat="1" applyFont="1" applyBorder="1"/>
    <xf numFmtId="49" fontId="5" fillId="0" borderId="0" xfId="0" applyNumberFormat="1" applyFont="1" applyAlignment="1">
      <alignment horizontal="left"/>
    </xf>
    <xf numFmtId="49" fontId="10" fillId="0" borderId="0" xfId="0" applyNumberFormat="1" applyFont="1"/>
    <xf numFmtId="49" fontId="7" fillId="0" borderId="0" xfId="0" applyNumberFormat="1" applyFont="1"/>
    <xf numFmtId="49" fontId="0" fillId="0" borderId="0" xfId="0" applyNumberFormat="1" applyAlignment="1">
      <alignment horizontal="left" indent="1"/>
    </xf>
    <xf numFmtId="49" fontId="12" fillId="0" borderId="0" xfId="0" applyNumberFormat="1" applyFont="1" applyAlignment="1">
      <alignment horizontal="left" indent="1"/>
    </xf>
    <xf numFmtId="49" fontId="12" fillId="0" borderId="0" xfId="0" applyNumberFormat="1" applyFont="1"/>
    <xf numFmtId="49" fontId="3" fillId="0" borderId="15" xfId="0" applyNumberFormat="1" applyFont="1" applyBorder="1" applyAlignment="1">
      <alignment horizontal="center" vertical="center"/>
    </xf>
    <xf numFmtId="49" fontId="2" fillId="0" borderId="0" xfId="0" applyNumberFormat="1" applyFont="1"/>
    <xf numFmtId="49" fontId="0" fillId="0" borderId="12" xfId="0" applyNumberFormat="1" applyBorder="1"/>
    <xf numFmtId="49" fontId="8" fillId="0" borderId="12" xfId="0" applyNumberFormat="1" applyFont="1" applyBorder="1"/>
    <xf numFmtId="49" fontId="0" fillId="0" borderId="17" xfId="0" applyNumberFormat="1" applyBorder="1"/>
    <xf numFmtId="49" fontId="8" fillId="0" borderId="17" xfId="0" applyNumberFormat="1" applyFont="1" applyBorder="1"/>
    <xf numFmtId="49" fontId="0" fillId="0" borderId="16" xfId="0" applyNumberFormat="1" applyBorder="1"/>
    <xf numFmtId="49" fontId="8" fillId="0" borderId="16" xfId="0" applyNumberFormat="1" applyFont="1" applyBorder="1"/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workbookViewId="0">
      <selection activeCell="F17" sqref="F17"/>
    </sheetView>
  </sheetViews>
  <sheetFormatPr defaultRowHeight="12.75"/>
  <cols>
    <col min="1" max="1" width="27" style="34" bestFit="1" customWidth="1"/>
    <col min="2" max="2" width="24" style="34" bestFit="1" customWidth="1"/>
    <col min="3" max="3" width="7.7109375" style="34" bestFit="1" customWidth="1"/>
    <col min="4" max="4" width="6.85546875" style="34" bestFit="1" customWidth="1"/>
    <col min="5" max="5" width="17.28515625" style="34" bestFit="1" customWidth="1"/>
    <col min="6" max="6" width="24.42578125" style="34" bestFit="1" customWidth="1"/>
    <col min="7" max="9" width="5.5703125" style="34" bestFit="1" customWidth="1"/>
    <col min="10" max="10" width="4.85546875" style="34" bestFit="1" customWidth="1"/>
    <col min="11" max="13" width="5.5703125" style="34" bestFit="1" customWidth="1"/>
    <col min="14" max="14" width="4.85546875" style="34" bestFit="1" customWidth="1"/>
    <col min="15" max="17" width="5.5703125" style="34" bestFit="1" customWidth="1"/>
    <col min="18" max="18" width="4.85546875" style="34" bestFit="1" customWidth="1"/>
    <col min="19" max="19" width="6.7109375" style="34" bestFit="1" customWidth="1"/>
    <col min="20" max="20" width="8.5703125" style="34" bestFit="1" customWidth="1"/>
    <col min="21" max="21" width="7.42578125" style="34" bestFit="1" customWidth="1"/>
  </cols>
  <sheetData>
    <row r="1" spans="1:21" s="1" customFormat="1" ht="15" customHeight="1">
      <c r="A1" s="53" t="s">
        <v>846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</row>
    <row r="2" spans="1:21" s="1" customFormat="1" ht="13.5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8"/>
    </row>
    <row r="3" spans="1:21" s="7" customFormat="1" ht="12.75" customHeight="1">
      <c r="A3" s="59" t="s">
        <v>0</v>
      </c>
      <c r="B3" s="61" t="s">
        <v>12</v>
      </c>
      <c r="C3" s="61" t="s">
        <v>11</v>
      </c>
      <c r="D3" s="63" t="s">
        <v>1</v>
      </c>
      <c r="E3" s="63" t="s">
        <v>2</v>
      </c>
      <c r="F3" s="64" t="s">
        <v>3</v>
      </c>
      <c r="G3" s="59" t="s">
        <v>4</v>
      </c>
      <c r="H3" s="63"/>
      <c r="I3" s="63"/>
      <c r="J3" s="66"/>
      <c r="K3" s="59" t="s">
        <v>5</v>
      </c>
      <c r="L3" s="63"/>
      <c r="M3" s="63"/>
      <c r="N3" s="66"/>
      <c r="O3" s="59" t="s">
        <v>6</v>
      </c>
      <c r="P3" s="63"/>
      <c r="Q3" s="63"/>
      <c r="R3" s="66"/>
      <c r="S3" s="67" t="s">
        <v>7</v>
      </c>
      <c r="T3" s="63" t="s">
        <v>9</v>
      </c>
      <c r="U3" s="66" t="s">
        <v>8</v>
      </c>
    </row>
    <row r="4" spans="1:21" s="7" customFormat="1" ht="23.25" customHeight="1" thickBot="1">
      <c r="A4" s="60"/>
      <c r="B4" s="62"/>
      <c r="C4" s="62"/>
      <c r="D4" s="62"/>
      <c r="E4" s="62"/>
      <c r="F4" s="65"/>
      <c r="G4" s="3">
        <v>1</v>
      </c>
      <c r="H4" s="2">
        <v>2</v>
      </c>
      <c r="I4" s="2">
        <v>3</v>
      </c>
      <c r="J4" s="4" t="s">
        <v>10</v>
      </c>
      <c r="K4" s="3">
        <v>1</v>
      </c>
      <c r="L4" s="2">
        <v>2</v>
      </c>
      <c r="M4" s="2">
        <v>3</v>
      </c>
      <c r="N4" s="4" t="s">
        <v>10</v>
      </c>
      <c r="O4" s="3">
        <v>1</v>
      </c>
      <c r="P4" s="2">
        <v>2</v>
      </c>
      <c r="Q4" s="2">
        <v>3</v>
      </c>
      <c r="R4" s="4" t="s">
        <v>10</v>
      </c>
      <c r="S4" s="68"/>
      <c r="T4" s="62"/>
      <c r="U4" s="69"/>
    </row>
    <row r="5" spans="1:21" ht="15">
      <c r="A5" s="70" t="s">
        <v>156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21">
      <c r="A6" s="35" t="s">
        <v>424</v>
      </c>
      <c r="B6" s="35" t="s">
        <v>425</v>
      </c>
      <c r="C6" s="35" t="s">
        <v>829</v>
      </c>
      <c r="D6" s="35" t="str">
        <f>"1,1110"</f>
        <v>1,1110</v>
      </c>
      <c r="E6" s="35" t="s">
        <v>427</v>
      </c>
      <c r="F6" s="35" t="s">
        <v>148</v>
      </c>
      <c r="G6" s="35" t="s">
        <v>19</v>
      </c>
      <c r="H6" s="35" t="s">
        <v>187</v>
      </c>
      <c r="I6" s="36" t="s">
        <v>188</v>
      </c>
      <c r="J6" s="36"/>
      <c r="K6" s="35" t="s">
        <v>431</v>
      </c>
      <c r="L6" s="35" t="s">
        <v>169</v>
      </c>
      <c r="M6" s="36" t="s">
        <v>318</v>
      </c>
      <c r="N6" s="36"/>
      <c r="O6" s="35" t="s">
        <v>19</v>
      </c>
      <c r="P6" s="36" t="s">
        <v>188</v>
      </c>
      <c r="Q6" s="36"/>
      <c r="R6" s="36"/>
      <c r="S6" s="35">
        <v>207.5</v>
      </c>
      <c r="T6" s="35" t="str">
        <f>"230,5325"</f>
        <v>230,5325</v>
      </c>
      <c r="U6" s="35"/>
    </row>
    <row r="8" spans="1:21" ht="15">
      <c r="A8" s="52" t="s">
        <v>171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</row>
    <row r="9" spans="1:21">
      <c r="A9" s="35" t="s">
        <v>830</v>
      </c>
      <c r="B9" s="35" t="s">
        <v>831</v>
      </c>
      <c r="C9" s="35" t="s">
        <v>832</v>
      </c>
      <c r="D9" s="35" t="str">
        <f>"0,8061"</f>
        <v>0,8061</v>
      </c>
      <c r="E9" s="35" t="s">
        <v>17</v>
      </c>
      <c r="F9" s="35" t="s">
        <v>89</v>
      </c>
      <c r="G9" s="35" t="s">
        <v>247</v>
      </c>
      <c r="H9" s="35" t="s">
        <v>338</v>
      </c>
      <c r="I9" s="35" t="s">
        <v>135</v>
      </c>
      <c r="J9" s="36"/>
      <c r="K9" s="35" t="s">
        <v>188</v>
      </c>
      <c r="L9" s="35" t="s">
        <v>350</v>
      </c>
      <c r="M9" s="36"/>
      <c r="N9" s="36"/>
      <c r="O9" s="35" t="s">
        <v>135</v>
      </c>
      <c r="P9" s="35" t="s">
        <v>43</v>
      </c>
      <c r="Q9" s="35" t="s">
        <v>44</v>
      </c>
      <c r="R9" s="36"/>
      <c r="S9" s="35">
        <v>375</v>
      </c>
      <c r="T9" s="35" t="str">
        <f>"302,2688"</f>
        <v>302,2688</v>
      </c>
      <c r="U9" s="35" t="s">
        <v>451</v>
      </c>
    </row>
    <row r="11" spans="1:21" ht="15">
      <c r="A11" s="52" t="s">
        <v>25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</row>
    <row r="12" spans="1:21">
      <c r="A12" s="35" t="s">
        <v>833</v>
      </c>
      <c r="B12" s="35" t="s">
        <v>834</v>
      </c>
      <c r="C12" s="35" t="s">
        <v>208</v>
      </c>
      <c r="D12" s="35" t="str">
        <f>"0,6209"</f>
        <v>0,6209</v>
      </c>
      <c r="E12" s="35" t="s">
        <v>835</v>
      </c>
      <c r="F12" s="35" t="s">
        <v>29</v>
      </c>
      <c r="G12" s="35" t="s">
        <v>238</v>
      </c>
      <c r="H12" s="35" t="s">
        <v>371</v>
      </c>
      <c r="I12" s="36" t="s">
        <v>31</v>
      </c>
      <c r="J12" s="36"/>
      <c r="K12" s="36" t="s">
        <v>81</v>
      </c>
      <c r="L12" s="36" t="s">
        <v>81</v>
      </c>
      <c r="M12" s="36" t="s">
        <v>81</v>
      </c>
      <c r="N12" s="36"/>
      <c r="O12" s="36" t="s">
        <v>194</v>
      </c>
      <c r="P12" s="36"/>
      <c r="Q12" s="36"/>
      <c r="R12" s="36"/>
      <c r="S12" s="35">
        <v>0</v>
      </c>
      <c r="T12" s="35" t="str">
        <f>"0,0000"</f>
        <v>0,0000</v>
      </c>
      <c r="U12" s="35"/>
    </row>
    <row r="14" spans="1:21" ht="15">
      <c r="E14" s="37" t="s">
        <v>93</v>
      </c>
    </row>
    <row r="15" spans="1:21" ht="15">
      <c r="E15" s="37" t="s">
        <v>94</v>
      </c>
    </row>
    <row r="16" spans="1:21" ht="15">
      <c r="E16" s="37" t="s">
        <v>95</v>
      </c>
    </row>
    <row r="17" spans="1:5">
      <c r="E17" s="34" t="s">
        <v>96</v>
      </c>
    </row>
    <row r="18" spans="1:5">
      <c r="E18" s="34" t="s">
        <v>97</v>
      </c>
    </row>
    <row r="19" spans="1:5">
      <c r="E19" s="34" t="s">
        <v>98</v>
      </c>
    </row>
    <row r="22" spans="1:5" ht="18">
      <c r="A22" s="38" t="s">
        <v>99</v>
      </c>
      <c r="B22" s="38"/>
    </row>
    <row r="23" spans="1:5" ht="15">
      <c r="A23" s="39" t="s">
        <v>100</v>
      </c>
      <c r="B23" s="39"/>
    </row>
    <row r="24" spans="1:5" ht="14.25">
      <c r="A24" s="41" t="s">
        <v>110</v>
      </c>
      <c r="B24" s="42"/>
    </row>
    <row r="25" spans="1:5" ht="15">
      <c r="A25" s="43" t="s">
        <v>0</v>
      </c>
      <c r="B25" s="43" t="s">
        <v>102</v>
      </c>
      <c r="C25" s="43" t="s">
        <v>103</v>
      </c>
      <c r="D25" s="43" t="s">
        <v>7</v>
      </c>
      <c r="E25" s="43" t="s">
        <v>104</v>
      </c>
    </row>
    <row r="26" spans="1:5">
      <c r="A26" s="40" t="s">
        <v>424</v>
      </c>
      <c r="B26" s="34" t="s">
        <v>110</v>
      </c>
      <c r="C26" s="34" t="s">
        <v>274</v>
      </c>
      <c r="D26" s="34" t="s">
        <v>358</v>
      </c>
      <c r="E26" s="44" t="s">
        <v>836</v>
      </c>
    </row>
    <row r="29" spans="1:5" ht="15">
      <c r="A29" s="39" t="s">
        <v>109</v>
      </c>
      <c r="B29" s="39"/>
    </row>
    <row r="30" spans="1:5" ht="14.25">
      <c r="A30" s="41" t="s">
        <v>276</v>
      </c>
      <c r="B30" s="42"/>
    </row>
    <row r="31" spans="1:5" ht="15">
      <c r="A31" s="43" t="s">
        <v>0</v>
      </c>
      <c r="B31" s="43" t="s">
        <v>102</v>
      </c>
      <c r="C31" s="43" t="s">
        <v>103</v>
      </c>
      <c r="D31" s="43" t="s">
        <v>7</v>
      </c>
      <c r="E31" s="43" t="s">
        <v>104</v>
      </c>
    </row>
    <row r="32" spans="1:5">
      <c r="A32" s="40" t="s">
        <v>830</v>
      </c>
      <c r="B32" s="34" t="s">
        <v>615</v>
      </c>
      <c r="C32" s="34" t="s">
        <v>285</v>
      </c>
      <c r="D32" s="34" t="s">
        <v>837</v>
      </c>
      <c r="E32" s="44" t="s">
        <v>838</v>
      </c>
    </row>
  </sheetData>
  <mergeCells count="16">
    <mergeCell ref="A11:T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8:T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G13" sqref="G13"/>
    </sheetView>
  </sheetViews>
  <sheetFormatPr defaultRowHeight="12.75"/>
  <cols>
    <col min="1" max="1" width="27" style="34" bestFit="1" customWidth="1"/>
    <col min="2" max="2" width="26" style="34" bestFit="1" customWidth="1"/>
    <col min="3" max="3" width="7.7109375" style="34" bestFit="1" customWidth="1"/>
    <col min="4" max="4" width="6.85546875" style="34" bestFit="1" customWidth="1"/>
    <col min="5" max="5" width="17.28515625" style="34" bestFit="1" customWidth="1"/>
    <col min="6" max="6" width="20.140625" style="34" bestFit="1" customWidth="1"/>
    <col min="7" max="9" width="5.5703125" style="34" bestFit="1" customWidth="1"/>
    <col min="10" max="10" width="4.85546875" style="34" bestFit="1" customWidth="1"/>
    <col min="11" max="11" width="6.7109375" style="34" bestFit="1" customWidth="1"/>
    <col min="12" max="12" width="8.5703125" style="34" bestFit="1" customWidth="1"/>
    <col min="13" max="13" width="7.42578125" style="34" bestFit="1" customWidth="1"/>
  </cols>
  <sheetData>
    <row r="1" spans="1:13" s="1" customFormat="1" ht="15" customHeight="1">
      <c r="A1" s="53" t="s">
        <v>853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1" customFormat="1" ht="13.5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7" customFormat="1" ht="12.75" customHeight="1">
      <c r="A3" s="59" t="s">
        <v>0</v>
      </c>
      <c r="B3" s="61" t="s">
        <v>12</v>
      </c>
      <c r="C3" s="61" t="s">
        <v>11</v>
      </c>
      <c r="D3" s="63" t="s">
        <v>1</v>
      </c>
      <c r="E3" s="63" t="s">
        <v>2</v>
      </c>
      <c r="F3" s="64" t="s">
        <v>3</v>
      </c>
      <c r="G3" s="59" t="s">
        <v>6</v>
      </c>
      <c r="H3" s="63"/>
      <c r="I3" s="63"/>
      <c r="J3" s="66"/>
      <c r="K3" s="67" t="s">
        <v>7</v>
      </c>
      <c r="L3" s="63" t="s">
        <v>9</v>
      </c>
      <c r="M3" s="66" t="s">
        <v>8</v>
      </c>
    </row>
    <row r="4" spans="1:13" s="7" customFormat="1" ht="23.25" customHeight="1" thickBot="1">
      <c r="A4" s="60"/>
      <c r="B4" s="62"/>
      <c r="C4" s="62"/>
      <c r="D4" s="62"/>
      <c r="E4" s="62"/>
      <c r="F4" s="65"/>
      <c r="G4" s="3">
        <v>1</v>
      </c>
      <c r="H4" s="2">
        <v>2</v>
      </c>
      <c r="I4" s="2">
        <v>3</v>
      </c>
      <c r="J4" s="4" t="s">
        <v>10</v>
      </c>
      <c r="K4" s="68"/>
      <c r="L4" s="62"/>
      <c r="M4" s="69"/>
    </row>
    <row r="5" spans="1:13" ht="15">
      <c r="A5" s="70" t="s">
        <v>13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3">
      <c r="A6" s="35" t="s">
        <v>748</v>
      </c>
      <c r="B6" s="35" t="s">
        <v>749</v>
      </c>
      <c r="C6" s="35" t="s">
        <v>481</v>
      </c>
      <c r="D6" s="35" t="str">
        <f>"0,6990"</f>
        <v>0,6990</v>
      </c>
      <c r="E6" s="35" t="s">
        <v>17</v>
      </c>
      <c r="F6" s="35" t="s">
        <v>714</v>
      </c>
      <c r="G6" s="35" t="s">
        <v>59</v>
      </c>
      <c r="H6" s="35" t="s">
        <v>69</v>
      </c>
      <c r="I6" s="35" t="s">
        <v>75</v>
      </c>
      <c r="J6" s="36"/>
      <c r="K6" s="35">
        <v>170</v>
      </c>
      <c r="L6" s="35" t="str">
        <f>"118,8300"</f>
        <v>118,8300</v>
      </c>
      <c r="M6" s="35"/>
    </row>
    <row r="8" spans="1:13" ht="15">
      <c r="E8" s="37" t="s">
        <v>93</v>
      </c>
    </row>
    <row r="9" spans="1:13" ht="15">
      <c r="E9" s="37" t="s">
        <v>94</v>
      </c>
    </row>
    <row r="10" spans="1:13" ht="15">
      <c r="E10" s="37" t="s">
        <v>95</v>
      </c>
    </row>
    <row r="11" spans="1:13">
      <c r="E11" s="34" t="s">
        <v>96</v>
      </c>
    </row>
    <row r="12" spans="1:13">
      <c r="E12" s="34" t="s">
        <v>97</v>
      </c>
    </row>
    <row r="13" spans="1:13">
      <c r="E13" s="34" t="s">
        <v>98</v>
      </c>
    </row>
    <row r="16" spans="1:13" ht="18">
      <c r="A16" s="38" t="s">
        <v>99</v>
      </c>
      <c r="B16" s="38"/>
    </row>
    <row r="17" spans="1:5" ht="15">
      <c r="A17" s="39" t="s">
        <v>109</v>
      </c>
      <c r="B17" s="39"/>
    </row>
    <row r="18" spans="1:5" ht="14.25">
      <c r="A18" s="41" t="s">
        <v>283</v>
      </c>
      <c r="B18" s="42"/>
    </row>
    <row r="19" spans="1:5" ht="15">
      <c r="A19" s="43" t="s">
        <v>0</v>
      </c>
      <c r="B19" s="43" t="s">
        <v>102</v>
      </c>
      <c r="C19" s="43" t="s">
        <v>103</v>
      </c>
      <c r="D19" s="43" t="s">
        <v>7</v>
      </c>
      <c r="E19" s="43" t="s">
        <v>104</v>
      </c>
    </row>
    <row r="20" spans="1:5">
      <c r="A20" s="40" t="s">
        <v>748</v>
      </c>
      <c r="B20" s="34" t="s">
        <v>284</v>
      </c>
      <c r="C20" s="34" t="s">
        <v>106</v>
      </c>
      <c r="D20" s="34" t="s">
        <v>75</v>
      </c>
      <c r="E20" s="44" t="s">
        <v>828</v>
      </c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U50"/>
  <sheetViews>
    <sheetView workbookViewId="0">
      <selection activeCell="E28" sqref="E28"/>
    </sheetView>
  </sheetViews>
  <sheetFormatPr defaultRowHeight="12.75"/>
  <cols>
    <col min="1" max="1" width="30.28515625" style="6" bestFit="1" customWidth="1"/>
    <col min="2" max="2" width="26.85546875" style="5" bestFit="1" customWidth="1"/>
    <col min="3" max="3" width="7.7109375" style="5" bestFit="1" customWidth="1"/>
    <col min="4" max="4" width="6.85546875" style="5" bestFit="1" customWidth="1"/>
    <col min="5" max="5" width="18.7109375" style="8" bestFit="1" customWidth="1"/>
    <col min="6" max="6" width="28" style="8" bestFit="1" customWidth="1"/>
    <col min="7" max="9" width="5.5703125" style="5" bestFit="1" customWidth="1"/>
    <col min="10" max="10" width="4.85546875" style="5" bestFit="1" customWidth="1"/>
    <col min="11" max="13" width="5.5703125" style="5" bestFit="1" customWidth="1"/>
    <col min="14" max="14" width="4.85546875" style="5" bestFit="1" customWidth="1"/>
    <col min="15" max="17" width="5.5703125" style="5" bestFit="1" customWidth="1"/>
    <col min="18" max="18" width="4.85546875" style="5" bestFit="1" customWidth="1"/>
    <col min="19" max="19" width="6.7109375" style="6" bestFit="1" customWidth="1"/>
    <col min="20" max="20" width="8.5703125" style="5" bestFit="1" customWidth="1"/>
    <col min="21" max="21" width="7.42578125" style="8" bestFit="1" customWidth="1"/>
    <col min="22" max="16384" width="9.140625" style="1"/>
  </cols>
  <sheetData>
    <row r="1" spans="1:21" ht="15" customHeight="1">
      <c r="A1" s="53" t="s">
        <v>854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</row>
    <row r="2" spans="1:21" ht="13.5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8"/>
    </row>
    <row r="3" spans="1:21" s="7" customFormat="1" ht="12.75" customHeight="1">
      <c r="A3" s="59" t="s">
        <v>0</v>
      </c>
      <c r="B3" s="61" t="s">
        <v>12</v>
      </c>
      <c r="C3" s="61" t="s">
        <v>11</v>
      </c>
      <c r="D3" s="63" t="s">
        <v>1</v>
      </c>
      <c r="E3" s="63" t="s">
        <v>2</v>
      </c>
      <c r="F3" s="64" t="s">
        <v>3</v>
      </c>
      <c r="G3" s="59" t="s">
        <v>4</v>
      </c>
      <c r="H3" s="63"/>
      <c r="I3" s="63"/>
      <c r="J3" s="66"/>
      <c r="K3" s="59" t="s">
        <v>5</v>
      </c>
      <c r="L3" s="63"/>
      <c r="M3" s="63"/>
      <c r="N3" s="66"/>
      <c r="O3" s="59" t="s">
        <v>6</v>
      </c>
      <c r="P3" s="63"/>
      <c r="Q3" s="63"/>
      <c r="R3" s="66"/>
      <c r="S3" s="67" t="s">
        <v>7</v>
      </c>
      <c r="T3" s="63" t="s">
        <v>9</v>
      </c>
      <c r="U3" s="66" t="s">
        <v>8</v>
      </c>
    </row>
    <row r="4" spans="1:21" s="7" customFormat="1" ht="23.25" customHeight="1" thickBot="1">
      <c r="A4" s="60"/>
      <c r="B4" s="62"/>
      <c r="C4" s="62"/>
      <c r="D4" s="62"/>
      <c r="E4" s="62"/>
      <c r="F4" s="65"/>
      <c r="G4" s="3">
        <v>1</v>
      </c>
      <c r="H4" s="2">
        <v>2</v>
      </c>
      <c r="I4" s="2">
        <v>3</v>
      </c>
      <c r="J4" s="4" t="s">
        <v>10</v>
      </c>
      <c r="K4" s="3">
        <v>1</v>
      </c>
      <c r="L4" s="2">
        <v>2</v>
      </c>
      <c r="M4" s="2">
        <v>3</v>
      </c>
      <c r="N4" s="4" t="s">
        <v>10</v>
      </c>
      <c r="O4" s="3">
        <v>1</v>
      </c>
      <c r="P4" s="2">
        <v>2</v>
      </c>
      <c r="Q4" s="2">
        <v>3</v>
      </c>
      <c r="R4" s="4" t="s">
        <v>10</v>
      </c>
      <c r="S4" s="68"/>
      <c r="T4" s="62"/>
      <c r="U4" s="69"/>
    </row>
    <row r="5" spans="1:21" s="5" customFormat="1" ht="15">
      <c r="A5" s="71" t="s">
        <v>13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8"/>
    </row>
    <row r="6" spans="1:21" s="5" customFormat="1">
      <c r="A6" s="9" t="s">
        <v>14</v>
      </c>
      <c r="B6" s="10" t="s">
        <v>15</v>
      </c>
      <c r="C6" s="10" t="s">
        <v>16</v>
      </c>
      <c r="D6" s="10" t="str">
        <f>"0,9573"</f>
        <v>0,9573</v>
      </c>
      <c r="E6" s="11" t="s">
        <v>17</v>
      </c>
      <c r="F6" s="11" t="s">
        <v>18</v>
      </c>
      <c r="G6" s="12" t="s">
        <v>19</v>
      </c>
      <c r="H6" s="12" t="s">
        <v>19</v>
      </c>
      <c r="I6" s="10" t="s">
        <v>19</v>
      </c>
      <c r="J6" s="12"/>
      <c r="K6" s="10" t="s">
        <v>20</v>
      </c>
      <c r="L6" s="12" t="s">
        <v>21</v>
      </c>
      <c r="M6" s="12" t="s">
        <v>21</v>
      </c>
      <c r="N6" s="12"/>
      <c r="O6" s="10" t="s">
        <v>22</v>
      </c>
      <c r="P6" s="10" t="s">
        <v>23</v>
      </c>
      <c r="Q6" s="10" t="s">
        <v>24</v>
      </c>
      <c r="R6" s="12"/>
      <c r="S6" s="9">
        <v>192.5</v>
      </c>
      <c r="T6" s="10" t="str">
        <f>"184,2806"</f>
        <v>184,2806</v>
      </c>
      <c r="U6" s="11"/>
    </row>
    <row r="7" spans="1:21" s="5" customFormat="1">
      <c r="A7" s="6"/>
      <c r="E7" s="8"/>
      <c r="F7" s="8"/>
      <c r="S7" s="6"/>
      <c r="U7" s="8"/>
    </row>
    <row r="8" spans="1:21" ht="15">
      <c r="A8" s="72" t="s">
        <v>25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2"/>
      <c r="T8" s="73"/>
    </row>
    <row r="9" spans="1:21">
      <c r="A9" s="16" t="s">
        <v>26</v>
      </c>
      <c r="B9" s="13" t="s">
        <v>27</v>
      </c>
      <c r="C9" s="13" t="s">
        <v>28</v>
      </c>
      <c r="D9" s="13" t="str">
        <f>"0,6238"</f>
        <v>0,6238</v>
      </c>
      <c r="E9" s="17" t="s">
        <v>17</v>
      </c>
      <c r="F9" s="17" t="s">
        <v>29</v>
      </c>
      <c r="G9" s="13" t="s">
        <v>30</v>
      </c>
      <c r="H9" s="13" t="s">
        <v>31</v>
      </c>
      <c r="I9" s="18" t="s">
        <v>32</v>
      </c>
      <c r="J9" s="18"/>
      <c r="K9" s="13" t="s">
        <v>33</v>
      </c>
      <c r="L9" s="18" t="s">
        <v>34</v>
      </c>
      <c r="M9" s="18" t="s">
        <v>34</v>
      </c>
      <c r="N9" s="18"/>
      <c r="O9" s="18" t="s">
        <v>35</v>
      </c>
      <c r="P9" s="13" t="s">
        <v>35</v>
      </c>
      <c r="Q9" s="18" t="s">
        <v>36</v>
      </c>
      <c r="R9" s="18"/>
      <c r="S9" s="16">
        <v>615</v>
      </c>
      <c r="T9" s="13" t="str">
        <f>"383,6677"</f>
        <v>383,6677</v>
      </c>
      <c r="U9" s="17"/>
    </row>
    <row r="10" spans="1:21">
      <c r="A10" s="19" t="s">
        <v>37</v>
      </c>
      <c r="B10" s="14" t="s">
        <v>38</v>
      </c>
      <c r="C10" s="14" t="s">
        <v>39</v>
      </c>
      <c r="D10" s="14" t="str">
        <f>"0,6130"</f>
        <v>0,6130</v>
      </c>
      <c r="E10" s="20" t="s">
        <v>17</v>
      </c>
      <c r="F10" s="20" t="s">
        <v>40</v>
      </c>
      <c r="G10" s="14" t="s">
        <v>41</v>
      </c>
      <c r="H10" s="21" t="s">
        <v>42</v>
      </c>
      <c r="I10" s="21"/>
      <c r="J10" s="21"/>
      <c r="K10" s="14" t="s">
        <v>43</v>
      </c>
      <c r="L10" s="14" t="s">
        <v>44</v>
      </c>
      <c r="M10" s="21" t="s">
        <v>33</v>
      </c>
      <c r="N10" s="21"/>
      <c r="O10" s="14" t="s">
        <v>30</v>
      </c>
      <c r="P10" s="14" t="s">
        <v>45</v>
      </c>
      <c r="Q10" s="21" t="s">
        <v>32</v>
      </c>
      <c r="R10" s="21"/>
      <c r="S10" s="19">
        <v>610</v>
      </c>
      <c r="T10" s="14" t="str">
        <f>"373,9300"</f>
        <v>373,9300</v>
      </c>
      <c r="U10" s="20"/>
    </row>
    <row r="11" spans="1:21">
      <c r="A11" s="22" t="s">
        <v>46</v>
      </c>
      <c r="B11" s="15" t="s">
        <v>47</v>
      </c>
      <c r="C11" s="15" t="s">
        <v>48</v>
      </c>
      <c r="D11" s="15" t="str">
        <f>"0,6133"</f>
        <v>0,6133</v>
      </c>
      <c r="E11" s="23" t="s">
        <v>17</v>
      </c>
      <c r="F11" s="23" t="s">
        <v>49</v>
      </c>
      <c r="G11" s="24" t="s">
        <v>30</v>
      </c>
      <c r="H11" s="24" t="s">
        <v>30</v>
      </c>
      <c r="I11" s="15" t="s">
        <v>30</v>
      </c>
      <c r="J11" s="24"/>
      <c r="K11" s="24" t="s">
        <v>50</v>
      </c>
      <c r="L11" s="15" t="s">
        <v>50</v>
      </c>
      <c r="M11" s="15" t="s">
        <v>51</v>
      </c>
      <c r="N11" s="24"/>
      <c r="O11" s="24" t="s">
        <v>30</v>
      </c>
      <c r="P11" s="15" t="s">
        <v>30</v>
      </c>
      <c r="Q11" s="15" t="s">
        <v>52</v>
      </c>
      <c r="R11" s="24"/>
      <c r="S11" s="22">
        <v>570</v>
      </c>
      <c r="T11" s="15" t="str">
        <f>"349,6095"</f>
        <v>349,6095</v>
      </c>
      <c r="U11" s="23"/>
    </row>
    <row r="13" spans="1:21" ht="15">
      <c r="A13" s="72" t="s">
        <v>53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2"/>
      <c r="T13" s="73"/>
    </row>
    <row r="14" spans="1:21">
      <c r="A14" s="16" t="s">
        <v>54</v>
      </c>
      <c r="B14" s="13" t="s">
        <v>55</v>
      </c>
      <c r="C14" s="13" t="s">
        <v>56</v>
      </c>
      <c r="D14" s="13" t="str">
        <f>"0,5891"</f>
        <v>0,5891</v>
      </c>
      <c r="E14" s="17" t="s">
        <v>17</v>
      </c>
      <c r="F14" s="17" t="s">
        <v>57</v>
      </c>
      <c r="G14" s="13" t="s">
        <v>41</v>
      </c>
      <c r="H14" s="13" t="s">
        <v>36</v>
      </c>
      <c r="I14" s="13" t="s">
        <v>58</v>
      </c>
      <c r="J14" s="18"/>
      <c r="K14" s="13" t="s">
        <v>51</v>
      </c>
      <c r="L14" s="18" t="s">
        <v>33</v>
      </c>
      <c r="M14" s="13" t="s">
        <v>59</v>
      </c>
      <c r="N14" s="18"/>
      <c r="O14" s="13" t="s">
        <v>60</v>
      </c>
      <c r="P14" s="13" t="s">
        <v>61</v>
      </c>
      <c r="Q14" s="18" t="s">
        <v>62</v>
      </c>
      <c r="R14" s="18"/>
      <c r="S14" s="16">
        <v>730</v>
      </c>
      <c r="T14" s="13" t="str">
        <f>"430,0430"</f>
        <v>430,0430</v>
      </c>
      <c r="U14" s="17"/>
    </row>
    <row r="15" spans="1:21">
      <c r="A15" s="19" t="s">
        <v>63</v>
      </c>
      <c r="B15" s="14" t="s">
        <v>64</v>
      </c>
      <c r="C15" s="14" t="s">
        <v>65</v>
      </c>
      <c r="D15" s="14" t="str">
        <f>"0,5968"</f>
        <v>0,5968</v>
      </c>
      <c r="E15" s="20" t="s">
        <v>66</v>
      </c>
      <c r="F15" s="20" t="s">
        <v>67</v>
      </c>
      <c r="G15" s="14" t="s">
        <v>41</v>
      </c>
      <c r="H15" s="14" t="s">
        <v>68</v>
      </c>
      <c r="I15" s="21" t="s">
        <v>60</v>
      </c>
      <c r="J15" s="21"/>
      <c r="K15" s="14" t="s">
        <v>44</v>
      </c>
      <c r="L15" s="14" t="s">
        <v>69</v>
      </c>
      <c r="M15" s="14" t="s">
        <v>70</v>
      </c>
      <c r="N15" s="21"/>
      <c r="O15" s="21" t="s">
        <v>30</v>
      </c>
      <c r="P15" s="14" t="s">
        <v>45</v>
      </c>
      <c r="Q15" s="14" t="s">
        <v>32</v>
      </c>
      <c r="R15" s="21"/>
      <c r="S15" s="19">
        <v>660</v>
      </c>
      <c r="T15" s="14" t="str">
        <f>"393,8550"</f>
        <v>393,8550</v>
      </c>
      <c r="U15" s="20"/>
    </row>
    <row r="16" spans="1:21">
      <c r="A16" s="19" t="s">
        <v>71</v>
      </c>
      <c r="B16" s="14" t="s">
        <v>72</v>
      </c>
      <c r="C16" s="14" t="s">
        <v>73</v>
      </c>
      <c r="D16" s="14" t="str">
        <f>"0,6303"</f>
        <v>0,6303</v>
      </c>
      <c r="E16" s="20" t="s">
        <v>17</v>
      </c>
      <c r="F16" s="20" t="s">
        <v>74</v>
      </c>
      <c r="G16" s="21" t="s">
        <v>45</v>
      </c>
      <c r="H16" s="14" t="s">
        <v>41</v>
      </c>
      <c r="I16" s="21" t="s">
        <v>36</v>
      </c>
      <c r="J16" s="21"/>
      <c r="K16" s="14" t="s">
        <v>59</v>
      </c>
      <c r="L16" s="14" t="s">
        <v>75</v>
      </c>
      <c r="M16" s="21" t="s">
        <v>76</v>
      </c>
      <c r="N16" s="21"/>
      <c r="O16" s="14" t="s">
        <v>30</v>
      </c>
      <c r="P16" s="14" t="s">
        <v>45</v>
      </c>
      <c r="Q16" s="21" t="s">
        <v>32</v>
      </c>
      <c r="R16" s="21"/>
      <c r="S16" s="19">
        <v>630</v>
      </c>
      <c r="T16" s="14" t="str">
        <f>"397,1102"</f>
        <v>397,1102</v>
      </c>
      <c r="U16" s="20"/>
    </row>
    <row r="17" spans="1:21">
      <c r="A17" s="22" t="s">
        <v>77</v>
      </c>
      <c r="B17" s="15" t="s">
        <v>78</v>
      </c>
      <c r="C17" s="15" t="s">
        <v>79</v>
      </c>
      <c r="D17" s="15" t="str">
        <f>"0,7947"</f>
        <v>0,7947</v>
      </c>
      <c r="E17" s="23" t="s">
        <v>17</v>
      </c>
      <c r="F17" s="23" t="s">
        <v>18</v>
      </c>
      <c r="G17" s="15" t="s">
        <v>30</v>
      </c>
      <c r="H17" s="15" t="s">
        <v>45</v>
      </c>
      <c r="I17" s="15" t="s">
        <v>32</v>
      </c>
      <c r="J17" s="24"/>
      <c r="K17" s="15" t="s">
        <v>80</v>
      </c>
      <c r="L17" s="15" t="s">
        <v>81</v>
      </c>
      <c r="M17" s="15" t="s">
        <v>82</v>
      </c>
      <c r="N17" s="24"/>
      <c r="O17" s="15" t="s">
        <v>30</v>
      </c>
      <c r="P17" s="15" t="s">
        <v>45</v>
      </c>
      <c r="Q17" s="15" t="s">
        <v>83</v>
      </c>
      <c r="R17" s="24"/>
      <c r="S17" s="22">
        <v>590</v>
      </c>
      <c r="T17" s="15" t="str">
        <f>"468,8959"</f>
        <v>468,8959</v>
      </c>
      <c r="U17" s="23"/>
    </row>
    <row r="19" spans="1:21" ht="15">
      <c r="A19" s="72" t="s">
        <v>84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2"/>
      <c r="T19" s="73"/>
    </row>
    <row r="20" spans="1:21">
      <c r="A20" s="9" t="s">
        <v>85</v>
      </c>
      <c r="B20" s="10" t="s">
        <v>86</v>
      </c>
      <c r="C20" s="10" t="s">
        <v>87</v>
      </c>
      <c r="D20" s="10" t="str">
        <f>"0,5677"</f>
        <v>0,5677</v>
      </c>
      <c r="E20" s="11" t="s">
        <v>88</v>
      </c>
      <c r="F20" s="11" t="s">
        <v>89</v>
      </c>
      <c r="G20" s="12" t="s">
        <v>90</v>
      </c>
      <c r="H20" s="10" t="s">
        <v>90</v>
      </c>
      <c r="I20" s="10" t="s">
        <v>91</v>
      </c>
      <c r="J20" s="12"/>
      <c r="K20" s="10" t="s">
        <v>59</v>
      </c>
      <c r="L20" s="10" t="s">
        <v>75</v>
      </c>
      <c r="M20" s="10" t="s">
        <v>76</v>
      </c>
      <c r="N20" s="12"/>
      <c r="O20" s="10" t="s">
        <v>61</v>
      </c>
      <c r="P20" s="10" t="s">
        <v>92</v>
      </c>
      <c r="Q20" s="10" t="s">
        <v>91</v>
      </c>
      <c r="R20" s="12"/>
      <c r="S20" s="9">
        <v>820</v>
      </c>
      <c r="T20" s="10" t="str">
        <f>"465,4730"</f>
        <v>465,4730</v>
      </c>
      <c r="U20" s="11"/>
    </row>
    <row r="22" spans="1:21" ht="15">
      <c r="E22" s="25" t="s">
        <v>93</v>
      </c>
    </row>
    <row r="23" spans="1:21" ht="15">
      <c r="E23" s="25" t="s">
        <v>94</v>
      </c>
    </row>
    <row r="24" spans="1:21" ht="15">
      <c r="E24" s="25" t="s">
        <v>95</v>
      </c>
    </row>
    <row r="25" spans="1:21">
      <c r="E25" s="8" t="s">
        <v>96</v>
      </c>
    </row>
    <row r="26" spans="1:21">
      <c r="E26" s="8" t="s">
        <v>97</v>
      </c>
    </row>
    <row r="27" spans="1:21">
      <c r="E27" s="8" t="s">
        <v>98</v>
      </c>
    </row>
    <row r="30" spans="1:21" ht="18">
      <c r="A30" s="26" t="s">
        <v>99</v>
      </c>
      <c r="B30" s="27"/>
    </row>
    <row r="31" spans="1:21" ht="15">
      <c r="A31" s="28" t="s">
        <v>100</v>
      </c>
      <c r="B31" s="29"/>
    </row>
    <row r="32" spans="1:21" ht="14.25">
      <c r="A32" s="31" t="s">
        <v>101</v>
      </c>
      <c r="B32" s="32"/>
    </row>
    <row r="33" spans="1:5" ht="15">
      <c r="A33" s="33" t="s">
        <v>0</v>
      </c>
      <c r="B33" s="33" t="s">
        <v>102</v>
      </c>
      <c r="C33" s="33" t="s">
        <v>103</v>
      </c>
      <c r="D33" s="33" t="s">
        <v>7</v>
      </c>
      <c r="E33" s="33" t="s">
        <v>104</v>
      </c>
    </row>
    <row r="34" spans="1:5">
      <c r="A34" s="30" t="s">
        <v>14</v>
      </c>
      <c r="B34" s="5" t="s">
        <v>105</v>
      </c>
      <c r="C34" s="5" t="s">
        <v>106</v>
      </c>
      <c r="D34" s="5" t="s">
        <v>107</v>
      </c>
      <c r="E34" s="6" t="s">
        <v>108</v>
      </c>
    </row>
    <row r="37" spans="1:5" ht="15">
      <c r="A37" s="28" t="s">
        <v>109</v>
      </c>
      <c r="B37" s="29"/>
    </row>
    <row r="38" spans="1:5" ht="14.25">
      <c r="A38" s="31" t="s">
        <v>110</v>
      </c>
      <c r="B38" s="32"/>
    </row>
    <row r="39" spans="1:5" ht="15">
      <c r="A39" s="33" t="s">
        <v>0</v>
      </c>
      <c r="B39" s="33" t="s">
        <v>102</v>
      </c>
      <c r="C39" s="33" t="s">
        <v>103</v>
      </c>
      <c r="D39" s="33" t="s">
        <v>7</v>
      </c>
      <c r="E39" s="33" t="s">
        <v>104</v>
      </c>
    </row>
    <row r="40" spans="1:5">
      <c r="A40" s="30" t="s">
        <v>85</v>
      </c>
      <c r="B40" s="5" t="s">
        <v>110</v>
      </c>
      <c r="C40" s="5" t="s">
        <v>111</v>
      </c>
      <c r="D40" s="5" t="s">
        <v>112</v>
      </c>
      <c r="E40" s="6" t="s">
        <v>113</v>
      </c>
    </row>
    <row r="41" spans="1:5">
      <c r="A41" s="30" t="s">
        <v>54</v>
      </c>
      <c r="B41" s="5" t="s">
        <v>110</v>
      </c>
      <c r="C41" s="5" t="s">
        <v>114</v>
      </c>
      <c r="D41" s="5" t="s">
        <v>115</v>
      </c>
      <c r="E41" s="6" t="s">
        <v>116</v>
      </c>
    </row>
    <row r="42" spans="1:5">
      <c r="A42" s="30" t="s">
        <v>63</v>
      </c>
      <c r="B42" s="5" t="s">
        <v>110</v>
      </c>
      <c r="C42" s="5" t="s">
        <v>114</v>
      </c>
      <c r="D42" s="5" t="s">
        <v>117</v>
      </c>
      <c r="E42" s="6" t="s">
        <v>118</v>
      </c>
    </row>
    <row r="43" spans="1:5">
      <c r="A43" s="30" t="s">
        <v>26</v>
      </c>
      <c r="B43" s="5" t="s">
        <v>110</v>
      </c>
      <c r="C43" s="5" t="s">
        <v>119</v>
      </c>
      <c r="D43" s="5" t="s">
        <v>120</v>
      </c>
      <c r="E43" s="6" t="s">
        <v>121</v>
      </c>
    </row>
    <row r="44" spans="1:5">
      <c r="A44" s="30" t="s">
        <v>37</v>
      </c>
      <c r="B44" s="5" t="s">
        <v>110</v>
      </c>
      <c r="C44" s="5" t="s">
        <v>119</v>
      </c>
      <c r="D44" s="5" t="s">
        <v>122</v>
      </c>
      <c r="E44" s="6" t="s">
        <v>123</v>
      </c>
    </row>
    <row r="45" spans="1:5">
      <c r="A45" s="30" t="s">
        <v>46</v>
      </c>
      <c r="B45" s="5" t="s">
        <v>110</v>
      </c>
      <c r="C45" s="5" t="s">
        <v>119</v>
      </c>
      <c r="D45" s="5" t="s">
        <v>124</v>
      </c>
      <c r="E45" s="6" t="s">
        <v>125</v>
      </c>
    </row>
    <row r="47" spans="1:5" ht="14.25">
      <c r="A47" s="31" t="s">
        <v>101</v>
      </c>
      <c r="B47" s="32"/>
    </row>
    <row r="48" spans="1:5" ht="15">
      <c r="A48" s="33" t="s">
        <v>0</v>
      </c>
      <c r="B48" s="33" t="s">
        <v>102</v>
      </c>
      <c r="C48" s="33" t="s">
        <v>103</v>
      </c>
      <c r="D48" s="33" t="s">
        <v>7</v>
      </c>
      <c r="E48" s="33" t="s">
        <v>104</v>
      </c>
    </row>
    <row r="49" spans="1:5">
      <c r="A49" s="30" t="s">
        <v>77</v>
      </c>
      <c r="B49" s="5" t="s">
        <v>126</v>
      </c>
      <c r="C49" s="5" t="s">
        <v>114</v>
      </c>
      <c r="D49" s="5" t="s">
        <v>127</v>
      </c>
      <c r="E49" s="6" t="s">
        <v>128</v>
      </c>
    </row>
    <row r="50" spans="1:5">
      <c r="A50" s="30" t="s">
        <v>71</v>
      </c>
      <c r="B50" s="5" t="s">
        <v>105</v>
      </c>
      <c r="C50" s="5" t="s">
        <v>114</v>
      </c>
      <c r="D50" s="5" t="s">
        <v>129</v>
      </c>
      <c r="E50" s="6" t="s">
        <v>130</v>
      </c>
    </row>
  </sheetData>
  <mergeCells count="17"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  <mergeCell ref="A19:T19"/>
    <mergeCell ref="D3:D4"/>
    <mergeCell ref="S3:S4"/>
    <mergeCell ref="T3:T4"/>
    <mergeCell ref="A5:T5"/>
    <mergeCell ref="A8:T8"/>
    <mergeCell ref="A13:T13"/>
  </mergeCells>
  <phoneticPr fontId="0" type="noConversion"/>
  <pageMargins left="0.19" right="0.47" top="0.45" bottom="0.49" header="0.5" footer="0.5"/>
  <pageSetup scale="69" fitToHeight="10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3"/>
  <sheetViews>
    <sheetView workbookViewId="0">
      <selection activeCell="R19" sqref="R19"/>
    </sheetView>
  </sheetViews>
  <sheetFormatPr defaultRowHeight="12.75"/>
  <cols>
    <col min="1" max="1" width="27" style="34" bestFit="1" customWidth="1"/>
    <col min="2" max="2" width="19.140625" style="34" bestFit="1" customWidth="1"/>
    <col min="3" max="3" width="7.7109375" style="34" bestFit="1" customWidth="1"/>
    <col min="4" max="4" width="6.85546875" style="34" bestFit="1" customWidth="1"/>
    <col min="5" max="5" width="17.28515625" style="34" bestFit="1" customWidth="1"/>
    <col min="6" max="6" width="25.140625" style="34" bestFit="1" customWidth="1"/>
    <col min="7" max="9" width="5.5703125" style="34" bestFit="1" customWidth="1"/>
    <col min="10" max="10" width="4.85546875" style="34" bestFit="1" customWidth="1"/>
    <col min="11" max="13" width="5.5703125" style="34" bestFit="1" customWidth="1"/>
    <col min="14" max="14" width="4.85546875" style="34" bestFit="1" customWidth="1"/>
    <col min="15" max="17" width="5.5703125" style="34" bestFit="1" customWidth="1"/>
    <col min="18" max="18" width="4.85546875" style="34" bestFit="1" customWidth="1"/>
    <col min="19" max="19" width="6.7109375" style="34" bestFit="1" customWidth="1"/>
    <col min="20" max="20" width="8.5703125" style="34" bestFit="1" customWidth="1"/>
    <col min="21" max="21" width="7.42578125" style="34" bestFit="1" customWidth="1"/>
  </cols>
  <sheetData>
    <row r="1" spans="1:21" s="1" customFormat="1" ht="15" customHeight="1">
      <c r="A1" s="53" t="s">
        <v>855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</row>
    <row r="2" spans="1:21" s="1" customFormat="1" ht="13.5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8"/>
    </row>
    <row r="3" spans="1:21" s="7" customFormat="1" ht="12.75" customHeight="1">
      <c r="A3" s="59" t="s">
        <v>0</v>
      </c>
      <c r="B3" s="61" t="s">
        <v>12</v>
      </c>
      <c r="C3" s="61" t="s">
        <v>11</v>
      </c>
      <c r="D3" s="63" t="s">
        <v>1</v>
      </c>
      <c r="E3" s="63" t="s">
        <v>2</v>
      </c>
      <c r="F3" s="64" t="s">
        <v>3</v>
      </c>
      <c r="G3" s="59" t="s">
        <v>4</v>
      </c>
      <c r="H3" s="63"/>
      <c r="I3" s="63"/>
      <c r="J3" s="66"/>
      <c r="K3" s="59" t="s">
        <v>5</v>
      </c>
      <c r="L3" s="63"/>
      <c r="M3" s="63"/>
      <c r="N3" s="66"/>
      <c r="O3" s="59" t="s">
        <v>6</v>
      </c>
      <c r="P3" s="63"/>
      <c r="Q3" s="63"/>
      <c r="R3" s="66"/>
      <c r="S3" s="67" t="s">
        <v>7</v>
      </c>
      <c r="T3" s="63" t="s">
        <v>9</v>
      </c>
      <c r="U3" s="66" t="s">
        <v>8</v>
      </c>
    </row>
    <row r="4" spans="1:21" s="7" customFormat="1" ht="23.25" customHeight="1" thickBot="1">
      <c r="A4" s="60"/>
      <c r="B4" s="62"/>
      <c r="C4" s="62"/>
      <c r="D4" s="62"/>
      <c r="E4" s="62"/>
      <c r="F4" s="65"/>
      <c r="G4" s="3">
        <v>1</v>
      </c>
      <c r="H4" s="2">
        <v>2</v>
      </c>
      <c r="I4" s="2">
        <v>3</v>
      </c>
      <c r="J4" s="4" t="s">
        <v>10</v>
      </c>
      <c r="K4" s="3">
        <v>1</v>
      </c>
      <c r="L4" s="2">
        <v>2</v>
      </c>
      <c r="M4" s="2">
        <v>3</v>
      </c>
      <c r="N4" s="4" t="s">
        <v>10</v>
      </c>
      <c r="O4" s="3">
        <v>1</v>
      </c>
      <c r="P4" s="2">
        <v>2</v>
      </c>
      <c r="Q4" s="2">
        <v>3</v>
      </c>
      <c r="R4" s="4" t="s">
        <v>10</v>
      </c>
      <c r="S4" s="68"/>
      <c r="T4" s="62"/>
      <c r="U4" s="69"/>
    </row>
    <row r="5" spans="1:21" ht="15">
      <c r="A5" s="70" t="s">
        <v>13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21">
      <c r="A6" s="35" t="s">
        <v>131</v>
      </c>
      <c r="B6" s="35" t="s">
        <v>132</v>
      </c>
      <c r="C6" s="35" t="s">
        <v>133</v>
      </c>
      <c r="D6" s="35" t="str">
        <f>"0,8468"</f>
        <v>0,8468</v>
      </c>
      <c r="E6" s="35" t="s">
        <v>17</v>
      </c>
      <c r="F6" s="35" t="s">
        <v>134</v>
      </c>
      <c r="G6" s="35" t="s">
        <v>135</v>
      </c>
      <c r="H6" s="35" t="s">
        <v>43</v>
      </c>
      <c r="I6" s="35" t="s">
        <v>44</v>
      </c>
      <c r="J6" s="36"/>
      <c r="K6" s="35" t="s">
        <v>136</v>
      </c>
      <c r="L6" s="35" t="s">
        <v>137</v>
      </c>
      <c r="M6" s="35" t="s">
        <v>22</v>
      </c>
      <c r="N6" s="36"/>
      <c r="O6" s="35" t="s">
        <v>43</v>
      </c>
      <c r="P6" s="35" t="s">
        <v>44</v>
      </c>
      <c r="Q6" s="35" t="s">
        <v>138</v>
      </c>
      <c r="R6" s="36"/>
      <c r="S6" s="35">
        <v>377.5</v>
      </c>
      <c r="T6" s="35" t="str">
        <f>"319,6670"</f>
        <v>319,6670</v>
      </c>
      <c r="U6" s="35"/>
    </row>
    <row r="8" spans="1:21" ht="15">
      <c r="A8" s="52" t="s">
        <v>139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</row>
    <row r="9" spans="1:21">
      <c r="A9" s="35" t="s">
        <v>140</v>
      </c>
      <c r="B9" s="35" t="s">
        <v>141</v>
      </c>
      <c r="C9" s="35" t="s">
        <v>142</v>
      </c>
      <c r="D9" s="35" t="str">
        <f>"0,6446"</f>
        <v>0,6446</v>
      </c>
      <c r="E9" s="35" t="s">
        <v>17</v>
      </c>
      <c r="F9" s="35" t="s">
        <v>143</v>
      </c>
      <c r="G9" s="35" t="s">
        <v>144</v>
      </c>
      <c r="H9" s="35" t="s">
        <v>52</v>
      </c>
      <c r="I9" s="35" t="s">
        <v>83</v>
      </c>
      <c r="J9" s="36"/>
      <c r="K9" s="35" t="s">
        <v>43</v>
      </c>
      <c r="L9" s="35" t="s">
        <v>44</v>
      </c>
      <c r="M9" s="35" t="s">
        <v>33</v>
      </c>
      <c r="N9" s="36"/>
      <c r="O9" s="35" t="s">
        <v>83</v>
      </c>
      <c r="P9" s="35" t="s">
        <v>42</v>
      </c>
      <c r="Q9" s="35" t="s">
        <v>36</v>
      </c>
      <c r="R9" s="36"/>
      <c r="S9" s="35">
        <v>650</v>
      </c>
      <c r="T9" s="35" t="str">
        <f>"418,9900"</f>
        <v>418,9900</v>
      </c>
      <c r="U9" s="35"/>
    </row>
    <row r="11" spans="1:21" ht="15">
      <c r="A11" s="52" t="s">
        <v>25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</row>
    <row r="12" spans="1:21">
      <c r="A12" s="35" t="s">
        <v>145</v>
      </c>
      <c r="B12" s="35" t="s">
        <v>146</v>
      </c>
      <c r="C12" s="35" t="s">
        <v>147</v>
      </c>
      <c r="D12" s="35" t="str">
        <f>"0,6205"</f>
        <v>0,6205</v>
      </c>
      <c r="E12" s="35" t="s">
        <v>17</v>
      </c>
      <c r="F12" s="35" t="s">
        <v>148</v>
      </c>
      <c r="G12" s="36" t="s">
        <v>30</v>
      </c>
      <c r="H12" s="36" t="s">
        <v>30</v>
      </c>
      <c r="I12" s="35" t="s">
        <v>30</v>
      </c>
      <c r="J12" s="36"/>
      <c r="K12" s="35" t="s">
        <v>69</v>
      </c>
      <c r="L12" s="35" t="s">
        <v>75</v>
      </c>
      <c r="M12" s="36" t="s">
        <v>70</v>
      </c>
      <c r="N12" s="36"/>
      <c r="O12" s="35" t="s">
        <v>45</v>
      </c>
      <c r="P12" s="35" t="s">
        <v>83</v>
      </c>
      <c r="Q12" s="36" t="s">
        <v>42</v>
      </c>
      <c r="R12" s="36"/>
      <c r="S12" s="35">
        <v>605</v>
      </c>
      <c r="T12" s="35" t="str">
        <f>"375,4025"</f>
        <v>375,4025</v>
      </c>
      <c r="U12" s="35"/>
    </row>
    <row r="14" spans="1:21" ht="15">
      <c r="E14" s="37" t="s">
        <v>93</v>
      </c>
    </row>
    <row r="15" spans="1:21" ht="15">
      <c r="E15" s="37" t="s">
        <v>94</v>
      </c>
    </row>
    <row r="16" spans="1:21" ht="15">
      <c r="E16" s="37" t="s">
        <v>95</v>
      </c>
    </row>
    <row r="17" spans="1:5">
      <c r="E17" s="34" t="s">
        <v>96</v>
      </c>
    </row>
    <row r="18" spans="1:5">
      <c r="E18" s="34" t="s">
        <v>97</v>
      </c>
    </row>
    <row r="19" spans="1:5">
      <c r="E19" s="34" t="s">
        <v>98</v>
      </c>
    </row>
    <row r="22" spans="1:5" ht="18">
      <c r="A22" s="38" t="s">
        <v>99</v>
      </c>
      <c r="B22" s="38"/>
    </row>
    <row r="23" spans="1:5" ht="15">
      <c r="A23" s="39" t="s">
        <v>100</v>
      </c>
      <c r="B23" s="39"/>
    </row>
    <row r="24" spans="1:5" ht="14.25">
      <c r="A24" s="41" t="s">
        <v>110</v>
      </c>
      <c r="B24" s="42"/>
    </row>
    <row r="25" spans="1:5" ht="15">
      <c r="A25" s="43" t="s">
        <v>0</v>
      </c>
      <c r="B25" s="43" t="s">
        <v>102</v>
      </c>
      <c r="C25" s="43" t="s">
        <v>103</v>
      </c>
      <c r="D25" s="43" t="s">
        <v>7</v>
      </c>
      <c r="E25" s="43" t="s">
        <v>104</v>
      </c>
    </row>
    <row r="26" spans="1:5">
      <c r="A26" s="40" t="s">
        <v>131</v>
      </c>
      <c r="B26" s="34" t="s">
        <v>110</v>
      </c>
      <c r="C26" s="34" t="s">
        <v>106</v>
      </c>
      <c r="D26" s="34" t="s">
        <v>149</v>
      </c>
      <c r="E26" s="44" t="s">
        <v>150</v>
      </c>
    </row>
    <row r="29" spans="1:5" ht="15">
      <c r="A29" s="39" t="s">
        <v>109</v>
      </c>
      <c r="B29" s="39"/>
    </row>
    <row r="30" spans="1:5" ht="14.25">
      <c r="A30" s="41" t="s">
        <v>110</v>
      </c>
      <c r="B30" s="42"/>
    </row>
    <row r="31" spans="1:5" ht="15">
      <c r="A31" s="43" t="s">
        <v>0</v>
      </c>
      <c r="B31" s="43" t="s">
        <v>102</v>
      </c>
      <c r="C31" s="43" t="s">
        <v>103</v>
      </c>
      <c r="D31" s="43" t="s">
        <v>7</v>
      </c>
      <c r="E31" s="43" t="s">
        <v>104</v>
      </c>
    </row>
    <row r="32" spans="1:5">
      <c r="A32" s="40" t="s">
        <v>140</v>
      </c>
      <c r="B32" s="34" t="s">
        <v>110</v>
      </c>
      <c r="C32" s="34" t="s">
        <v>151</v>
      </c>
      <c r="D32" s="34" t="s">
        <v>152</v>
      </c>
      <c r="E32" s="44" t="s">
        <v>153</v>
      </c>
    </row>
    <row r="33" spans="1:5">
      <c r="A33" s="40" t="s">
        <v>145</v>
      </c>
      <c r="B33" s="34" t="s">
        <v>110</v>
      </c>
      <c r="C33" s="34" t="s">
        <v>119</v>
      </c>
      <c r="D33" s="34" t="s">
        <v>154</v>
      </c>
      <c r="E33" s="44" t="s">
        <v>155</v>
      </c>
    </row>
  </sheetData>
  <mergeCells count="16">
    <mergeCell ref="A11:T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8:T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99"/>
  <sheetViews>
    <sheetView workbookViewId="0">
      <selection activeCell="A11" sqref="A11:L11"/>
    </sheetView>
  </sheetViews>
  <sheetFormatPr defaultRowHeight="12.75"/>
  <cols>
    <col min="1" max="1" width="27" style="34" bestFit="1" customWidth="1"/>
    <col min="2" max="2" width="26.85546875" style="34" bestFit="1" customWidth="1"/>
    <col min="3" max="3" width="7.7109375" style="34" bestFit="1" customWidth="1"/>
    <col min="4" max="4" width="6.85546875" style="34" bestFit="1" customWidth="1"/>
    <col min="5" max="5" width="17.28515625" style="34" bestFit="1" customWidth="1"/>
    <col min="6" max="6" width="35.28515625" style="34" bestFit="1" customWidth="1"/>
    <col min="7" max="9" width="5.5703125" style="34" bestFit="1" customWidth="1"/>
    <col min="10" max="10" width="4.85546875" style="34" bestFit="1" customWidth="1"/>
    <col min="11" max="11" width="6.7109375" style="34" bestFit="1" customWidth="1"/>
    <col min="12" max="12" width="8.5703125" style="34" bestFit="1" customWidth="1"/>
    <col min="13" max="13" width="7.42578125" style="34" bestFit="1" customWidth="1"/>
  </cols>
  <sheetData>
    <row r="1" spans="1:13" s="1" customFormat="1" ht="15" customHeight="1">
      <c r="A1" s="53" t="s">
        <v>856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1" customFormat="1" ht="13.5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7" customFormat="1" ht="12.75" customHeight="1">
      <c r="A3" s="59" t="s">
        <v>0</v>
      </c>
      <c r="B3" s="61" t="s">
        <v>12</v>
      </c>
      <c r="C3" s="61" t="s">
        <v>11</v>
      </c>
      <c r="D3" s="63" t="s">
        <v>1</v>
      </c>
      <c r="E3" s="63" t="s">
        <v>2</v>
      </c>
      <c r="F3" s="64" t="s">
        <v>3</v>
      </c>
      <c r="G3" s="59" t="s">
        <v>5</v>
      </c>
      <c r="H3" s="63"/>
      <c r="I3" s="63"/>
      <c r="J3" s="66"/>
      <c r="K3" s="67" t="s">
        <v>7</v>
      </c>
      <c r="L3" s="63" t="s">
        <v>9</v>
      </c>
      <c r="M3" s="66" t="s">
        <v>8</v>
      </c>
    </row>
    <row r="4" spans="1:13" s="7" customFormat="1" ht="23.25" customHeight="1" thickBot="1">
      <c r="A4" s="60"/>
      <c r="B4" s="62"/>
      <c r="C4" s="62"/>
      <c r="D4" s="62"/>
      <c r="E4" s="62"/>
      <c r="F4" s="65"/>
      <c r="G4" s="3">
        <v>1</v>
      </c>
      <c r="H4" s="2">
        <v>2</v>
      </c>
      <c r="I4" s="2">
        <v>3</v>
      </c>
      <c r="J4" s="4" t="s">
        <v>10</v>
      </c>
      <c r="K4" s="68"/>
      <c r="L4" s="62"/>
      <c r="M4" s="69"/>
    </row>
    <row r="5" spans="1:13" ht="15">
      <c r="A5" s="70" t="s">
        <v>156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3">
      <c r="A6" s="35" t="s">
        <v>157</v>
      </c>
      <c r="B6" s="35" t="s">
        <v>158</v>
      </c>
      <c r="C6" s="35" t="s">
        <v>159</v>
      </c>
      <c r="D6" s="35" t="str">
        <f>"1,1585"</f>
        <v>1,1585</v>
      </c>
      <c r="E6" s="35" t="s">
        <v>17</v>
      </c>
      <c r="F6" s="35" t="s">
        <v>148</v>
      </c>
      <c r="G6" s="35" t="s">
        <v>161</v>
      </c>
      <c r="H6" s="35" t="s">
        <v>162</v>
      </c>
      <c r="I6" s="36" t="s">
        <v>163</v>
      </c>
      <c r="J6" s="36"/>
      <c r="K6" s="35">
        <v>60</v>
      </c>
      <c r="L6" s="35" t="str">
        <f>"69,5100"</f>
        <v>69,5100</v>
      </c>
      <c r="M6" s="35"/>
    </row>
    <row r="8" spans="1:13" ht="15">
      <c r="A8" s="52" t="s">
        <v>164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3">
      <c r="A9" s="35" t="s">
        <v>165</v>
      </c>
      <c r="B9" s="35" t="s">
        <v>166</v>
      </c>
      <c r="C9" s="35" t="s">
        <v>167</v>
      </c>
      <c r="D9" s="35" t="str">
        <f>"0,9130"</f>
        <v>0,9130</v>
      </c>
      <c r="E9" s="35" t="s">
        <v>17</v>
      </c>
      <c r="F9" s="35" t="s">
        <v>168</v>
      </c>
      <c r="G9" s="35" t="s">
        <v>169</v>
      </c>
      <c r="H9" s="35" t="s">
        <v>170</v>
      </c>
      <c r="I9" s="36" t="s">
        <v>161</v>
      </c>
      <c r="J9" s="36"/>
      <c r="K9" s="35">
        <v>52.5</v>
      </c>
      <c r="L9" s="35" t="str">
        <f>"47,9351"</f>
        <v>47,9351</v>
      </c>
      <c r="M9" s="35"/>
    </row>
    <row r="11" spans="1:13" ht="15">
      <c r="A11" s="52" t="s">
        <v>171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3">
      <c r="A12" s="35" t="s">
        <v>172</v>
      </c>
      <c r="B12" s="35" t="s">
        <v>173</v>
      </c>
      <c r="C12" s="35" t="s">
        <v>174</v>
      </c>
      <c r="D12" s="35" t="str">
        <f>"0,7531"</f>
        <v>0,7531</v>
      </c>
      <c r="E12" s="35" t="s">
        <v>17</v>
      </c>
      <c r="F12" s="35" t="s">
        <v>175</v>
      </c>
      <c r="G12" s="35" t="s">
        <v>24</v>
      </c>
      <c r="H12" s="35" t="s">
        <v>176</v>
      </c>
      <c r="I12" s="36" t="s">
        <v>177</v>
      </c>
      <c r="J12" s="36"/>
      <c r="K12" s="35">
        <v>87.5</v>
      </c>
      <c r="L12" s="35" t="str">
        <f>"65,9006"</f>
        <v>65,9006</v>
      </c>
      <c r="M12" s="35"/>
    </row>
    <row r="14" spans="1:13" ht="15">
      <c r="A14" s="52" t="s">
        <v>13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3">
      <c r="A15" s="45" t="s">
        <v>178</v>
      </c>
      <c r="B15" s="45" t="s">
        <v>179</v>
      </c>
      <c r="C15" s="45" t="s">
        <v>180</v>
      </c>
      <c r="D15" s="45" t="str">
        <f>"0,7005"</f>
        <v>0,7005</v>
      </c>
      <c r="E15" s="45" t="s">
        <v>17</v>
      </c>
      <c r="F15" s="45" t="s">
        <v>181</v>
      </c>
      <c r="G15" s="45" t="s">
        <v>59</v>
      </c>
      <c r="H15" s="45" t="s">
        <v>75</v>
      </c>
      <c r="I15" s="46" t="s">
        <v>182</v>
      </c>
      <c r="J15" s="46"/>
      <c r="K15" s="45">
        <v>170</v>
      </c>
      <c r="L15" s="45" t="str">
        <f>"119,0765"</f>
        <v>119,0765</v>
      </c>
      <c r="M15" s="45"/>
    </row>
    <row r="16" spans="1:13">
      <c r="A16" s="47" t="s">
        <v>183</v>
      </c>
      <c r="B16" s="47" t="s">
        <v>184</v>
      </c>
      <c r="C16" s="47" t="s">
        <v>185</v>
      </c>
      <c r="D16" s="47" t="str">
        <f>"1,2505"</f>
        <v>1,2505</v>
      </c>
      <c r="E16" s="47" t="s">
        <v>17</v>
      </c>
      <c r="F16" s="47" t="s">
        <v>175</v>
      </c>
      <c r="G16" s="47" t="s">
        <v>186</v>
      </c>
      <c r="H16" s="47" t="s">
        <v>187</v>
      </c>
      <c r="I16" s="47" t="s">
        <v>188</v>
      </c>
      <c r="J16" s="48"/>
      <c r="K16" s="47">
        <v>90</v>
      </c>
      <c r="L16" s="47" t="str">
        <f>"112,5479"</f>
        <v>112,5479</v>
      </c>
      <c r="M16" s="47"/>
    </row>
    <row r="18" spans="1:13" ht="15">
      <c r="A18" s="52" t="s">
        <v>139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</row>
    <row r="19" spans="1:13">
      <c r="A19" s="45" t="s">
        <v>189</v>
      </c>
      <c r="B19" s="45" t="s">
        <v>190</v>
      </c>
      <c r="C19" s="45" t="s">
        <v>191</v>
      </c>
      <c r="D19" s="45" t="str">
        <f>"0,6461"</f>
        <v>0,6461</v>
      </c>
      <c r="E19" s="45" t="s">
        <v>17</v>
      </c>
      <c r="F19" s="45" t="s">
        <v>192</v>
      </c>
      <c r="G19" s="45" t="s">
        <v>76</v>
      </c>
      <c r="H19" s="46" t="s">
        <v>193</v>
      </c>
      <c r="I19" s="45" t="s">
        <v>194</v>
      </c>
      <c r="J19" s="46"/>
      <c r="K19" s="45">
        <v>190</v>
      </c>
      <c r="L19" s="45" t="str">
        <f>"122,7685"</f>
        <v>122,7685</v>
      </c>
      <c r="M19" s="45"/>
    </row>
    <row r="20" spans="1:13">
      <c r="A20" s="47" t="s">
        <v>195</v>
      </c>
      <c r="B20" s="47" t="s">
        <v>196</v>
      </c>
      <c r="C20" s="47" t="s">
        <v>197</v>
      </c>
      <c r="D20" s="47" t="str">
        <f>"0,6550"</f>
        <v>0,6550</v>
      </c>
      <c r="E20" s="47" t="s">
        <v>17</v>
      </c>
      <c r="F20" s="47" t="s">
        <v>148</v>
      </c>
      <c r="G20" s="47" t="s">
        <v>81</v>
      </c>
      <c r="H20" s="48" t="s">
        <v>160</v>
      </c>
      <c r="I20" s="48" t="s">
        <v>43</v>
      </c>
      <c r="J20" s="48"/>
      <c r="K20" s="47">
        <v>120</v>
      </c>
      <c r="L20" s="47" t="str">
        <f>"78,6060"</f>
        <v>78,6060</v>
      </c>
      <c r="M20" s="47"/>
    </row>
    <row r="22" spans="1:13" ht="15">
      <c r="A22" s="52" t="s">
        <v>25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3">
      <c r="A23" s="45" t="s">
        <v>198</v>
      </c>
      <c r="B23" s="45" t="s">
        <v>199</v>
      </c>
      <c r="C23" s="45" t="s">
        <v>200</v>
      </c>
      <c r="D23" s="45" t="str">
        <f>"0,6177"</f>
        <v>0,6177</v>
      </c>
      <c r="E23" s="45" t="s">
        <v>201</v>
      </c>
      <c r="F23" s="45" t="s">
        <v>202</v>
      </c>
      <c r="G23" s="45" t="s">
        <v>144</v>
      </c>
      <c r="H23" s="46" t="s">
        <v>203</v>
      </c>
      <c r="I23" s="46" t="s">
        <v>203</v>
      </c>
      <c r="J23" s="46"/>
      <c r="K23" s="45">
        <v>210</v>
      </c>
      <c r="L23" s="45" t="str">
        <f>"129,7170"</f>
        <v>129,7170</v>
      </c>
      <c r="M23" s="45"/>
    </row>
    <row r="24" spans="1:13">
      <c r="A24" s="49" t="s">
        <v>204</v>
      </c>
      <c r="B24" s="49" t="s">
        <v>205</v>
      </c>
      <c r="C24" s="49" t="s">
        <v>28</v>
      </c>
      <c r="D24" s="49" t="str">
        <f>"0,6238"</f>
        <v>0,6238</v>
      </c>
      <c r="E24" s="49" t="s">
        <v>17</v>
      </c>
      <c r="F24" s="49" t="s">
        <v>134</v>
      </c>
      <c r="G24" s="49" t="s">
        <v>30</v>
      </c>
      <c r="H24" s="50" t="s">
        <v>144</v>
      </c>
      <c r="I24" s="50" t="s">
        <v>144</v>
      </c>
      <c r="J24" s="50"/>
      <c r="K24" s="49">
        <v>200</v>
      </c>
      <c r="L24" s="49" t="str">
        <f>"124,7700"</f>
        <v>124,7700</v>
      </c>
      <c r="M24" s="49"/>
    </row>
    <row r="25" spans="1:13">
      <c r="A25" s="49" t="s">
        <v>206</v>
      </c>
      <c r="B25" s="49" t="s">
        <v>207</v>
      </c>
      <c r="C25" s="49" t="s">
        <v>208</v>
      </c>
      <c r="D25" s="49" t="str">
        <f>"0,6209"</f>
        <v>0,6209</v>
      </c>
      <c r="E25" s="49" t="s">
        <v>17</v>
      </c>
      <c r="F25" s="49" t="s">
        <v>209</v>
      </c>
      <c r="G25" s="50" t="s">
        <v>210</v>
      </c>
      <c r="H25" s="50" t="s">
        <v>210</v>
      </c>
      <c r="I25" s="49" t="s">
        <v>210</v>
      </c>
      <c r="J25" s="50"/>
      <c r="K25" s="49">
        <v>147.5</v>
      </c>
      <c r="L25" s="49" t="str">
        <f>"91,5827"</f>
        <v>91,5827</v>
      </c>
      <c r="M25" s="49"/>
    </row>
    <row r="26" spans="1:13">
      <c r="A26" s="49" t="s">
        <v>211</v>
      </c>
      <c r="B26" s="49" t="s">
        <v>212</v>
      </c>
      <c r="C26" s="49" t="s">
        <v>213</v>
      </c>
      <c r="D26" s="49" t="str">
        <f>"0,6269"</f>
        <v>0,6269</v>
      </c>
      <c r="E26" s="49" t="s">
        <v>17</v>
      </c>
      <c r="F26" s="49" t="s">
        <v>148</v>
      </c>
      <c r="G26" s="50" t="s">
        <v>59</v>
      </c>
      <c r="H26" s="50" t="s">
        <v>59</v>
      </c>
      <c r="I26" s="50" t="s">
        <v>59</v>
      </c>
      <c r="J26" s="50"/>
      <c r="K26" s="49">
        <v>0</v>
      </c>
      <c r="L26" s="49" t="str">
        <f>"0,0000"</f>
        <v>0,0000</v>
      </c>
      <c r="M26" s="49"/>
    </row>
    <row r="27" spans="1:13">
      <c r="A27" s="49" t="s">
        <v>214</v>
      </c>
      <c r="B27" s="49" t="s">
        <v>215</v>
      </c>
      <c r="C27" s="49" t="s">
        <v>216</v>
      </c>
      <c r="D27" s="49" t="str">
        <f>"0,6853"</f>
        <v>0,6853</v>
      </c>
      <c r="E27" s="49" t="s">
        <v>17</v>
      </c>
      <c r="F27" s="49" t="s">
        <v>217</v>
      </c>
      <c r="G27" s="49" t="s">
        <v>135</v>
      </c>
      <c r="H27" s="49" t="s">
        <v>43</v>
      </c>
      <c r="I27" s="49" t="s">
        <v>44</v>
      </c>
      <c r="J27" s="50"/>
      <c r="K27" s="49">
        <v>150</v>
      </c>
      <c r="L27" s="49" t="str">
        <f>"102,7911"</f>
        <v>102,7911</v>
      </c>
      <c r="M27" s="49"/>
    </row>
    <row r="28" spans="1:13">
      <c r="A28" s="47" t="s">
        <v>218</v>
      </c>
      <c r="B28" s="47" t="s">
        <v>219</v>
      </c>
      <c r="C28" s="47" t="s">
        <v>220</v>
      </c>
      <c r="D28" s="47" t="str">
        <f>"0,6773"</f>
        <v>0,6773</v>
      </c>
      <c r="E28" s="47" t="s">
        <v>17</v>
      </c>
      <c r="F28" s="47" t="s">
        <v>175</v>
      </c>
      <c r="G28" s="48" t="s">
        <v>161</v>
      </c>
      <c r="H28" s="47" t="s">
        <v>162</v>
      </c>
      <c r="I28" s="48"/>
      <c r="J28" s="48"/>
      <c r="K28" s="47">
        <v>60</v>
      </c>
      <c r="L28" s="47" t="str">
        <f>"40,6367"</f>
        <v>40,6367</v>
      </c>
      <c r="M28" s="47"/>
    </row>
    <row r="30" spans="1:13" ht="15">
      <c r="A30" s="52" t="s">
        <v>53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1:13">
      <c r="A31" s="45" t="s">
        <v>221</v>
      </c>
      <c r="B31" s="45" t="s">
        <v>222</v>
      </c>
      <c r="C31" s="45" t="s">
        <v>223</v>
      </c>
      <c r="D31" s="45" t="str">
        <f>"0,6040"</f>
        <v>0,6040</v>
      </c>
      <c r="E31" s="45" t="s">
        <v>17</v>
      </c>
      <c r="F31" s="45" t="s">
        <v>148</v>
      </c>
      <c r="G31" s="45" t="s">
        <v>163</v>
      </c>
      <c r="H31" s="46" t="s">
        <v>22</v>
      </c>
      <c r="I31" s="45" t="s">
        <v>22</v>
      </c>
      <c r="J31" s="46"/>
      <c r="K31" s="45">
        <v>70</v>
      </c>
      <c r="L31" s="45" t="str">
        <f>"42,2800"</f>
        <v>42,2800</v>
      </c>
      <c r="M31" s="45"/>
    </row>
    <row r="32" spans="1:13">
      <c r="A32" s="49" t="s">
        <v>224</v>
      </c>
      <c r="B32" s="49" t="s">
        <v>225</v>
      </c>
      <c r="C32" s="49" t="s">
        <v>226</v>
      </c>
      <c r="D32" s="49" t="str">
        <f>"0,5977"</f>
        <v>0,5977</v>
      </c>
      <c r="E32" s="49" t="s">
        <v>17</v>
      </c>
      <c r="F32" s="49" t="s">
        <v>168</v>
      </c>
      <c r="G32" s="49" t="s">
        <v>43</v>
      </c>
      <c r="H32" s="50" t="s">
        <v>51</v>
      </c>
      <c r="I32" s="50" t="s">
        <v>210</v>
      </c>
      <c r="J32" s="50"/>
      <c r="K32" s="49">
        <v>140</v>
      </c>
      <c r="L32" s="49" t="str">
        <f>"83,6780"</f>
        <v>83,6780</v>
      </c>
      <c r="M32" s="49"/>
    </row>
    <row r="33" spans="1:13">
      <c r="A33" s="49" t="s">
        <v>227</v>
      </c>
      <c r="B33" s="49" t="s">
        <v>228</v>
      </c>
      <c r="C33" s="49" t="s">
        <v>229</v>
      </c>
      <c r="D33" s="49" t="str">
        <f>"0,5850"</f>
        <v>0,5850</v>
      </c>
      <c r="E33" s="49" t="s">
        <v>17</v>
      </c>
      <c r="F33" s="49" t="s">
        <v>230</v>
      </c>
      <c r="G33" s="49" t="s">
        <v>31</v>
      </c>
      <c r="H33" s="49" t="s">
        <v>45</v>
      </c>
      <c r="I33" s="50" t="s">
        <v>52</v>
      </c>
      <c r="J33" s="50"/>
      <c r="K33" s="49">
        <v>220</v>
      </c>
      <c r="L33" s="49" t="str">
        <f>"128,7110"</f>
        <v>128,7110</v>
      </c>
      <c r="M33" s="49"/>
    </row>
    <row r="34" spans="1:13">
      <c r="A34" s="49" t="s">
        <v>231</v>
      </c>
      <c r="B34" s="49" t="s">
        <v>232</v>
      </c>
      <c r="C34" s="49" t="s">
        <v>233</v>
      </c>
      <c r="D34" s="49" t="str">
        <f>"0,5870"</f>
        <v>0,5870</v>
      </c>
      <c r="E34" s="49" t="s">
        <v>17</v>
      </c>
      <c r="F34" s="49" t="s">
        <v>148</v>
      </c>
      <c r="G34" s="49" t="s">
        <v>144</v>
      </c>
      <c r="H34" s="50" t="s">
        <v>31</v>
      </c>
      <c r="I34" s="50" t="s">
        <v>31</v>
      </c>
      <c r="J34" s="50"/>
      <c r="K34" s="49">
        <v>210</v>
      </c>
      <c r="L34" s="49" t="str">
        <f>"123,2595"</f>
        <v>123,2595</v>
      </c>
      <c r="M34" s="49"/>
    </row>
    <row r="35" spans="1:13">
      <c r="A35" s="49" t="s">
        <v>234</v>
      </c>
      <c r="B35" s="49" t="s">
        <v>235</v>
      </c>
      <c r="C35" s="49" t="s">
        <v>236</v>
      </c>
      <c r="D35" s="49" t="str">
        <f>"0,5971"</f>
        <v>0,5971</v>
      </c>
      <c r="E35" s="49" t="s">
        <v>17</v>
      </c>
      <c r="F35" s="49" t="s">
        <v>237</v>
      </c>
      <c r="G35" s="49" t="s">
        <v>238</v>
      </c>
      <c r="H35" s="50" t="s">
        <v>30</v>
      </c>
      <c r="I35" s="50" t="s">
        <v>30</v>
      </c>
      <c r="J35" s="50"/>
      <c r="K35" s="49">
        <v>195</v>
      </c>
      <c r="L35" s="49" t="str">
        <f>"116,4345"</f>
        <v>116,4345</v>
      </c>
      <c r="M35" s="49"/>
    </row>
    <row r="36" spans="1:13">
      <c r="A36" s="49" t="s">
        <v>239</v>
      </c>
      <c r="B36" s="49" t="s">
        <v>240</v>
      </c>
      <c r="C36" s="49" t="s">
        <v>241</v>
      </c>
      <c r="D36" s="49" t="str">
        <f>"0,5949"</f>
        <v>0,5949</v>
      </c>
      <c r="E36" s="49" t="s">
        <v>17</v>
      </c>
      <c r="F36" s="49" t="s">
        <v>242</v>
      </c>
      <c r="G36" s="49" t="s">
        <v>243</v>
      </c>
      <c r="H36" s="49" t="s">
        <v>51</v>
      </c>
      <c r="I36" s="50" t="s">
        <v>44</v>
      </c>
      <c r="J36" s="50"/>
      <c r="K36" s="49">
        <v>145</v>
      </c>
      <c r="L36" s="49" t="str">
        <f>"86,2605"</f>
        <v>86,2605</v>
      </c>
      <c r="M36" s="49"/>
    </row>
    <row r="37" spans="1:13">
      <c r="A37" s="49" t="s">
        <v>244</v>
      </c>
      <c r="B37" s="49" t="s">
        <v>245</v>
      </c>
      <c r="C37" s="49" t="s">
        <v>246</v>
      </c>
      <c r="D37" s="49" t="str">
        <f>"0,6070"</f>
        <v>0,6070</v>
      </c>
      <c r="E37" s="49" t="s">
        <v>17</v>
      </c>
      <c r="F37" s="49" t="s">
        <v>148</v>
      </c>
      <c r="G37" s="49" t="s">
        <v>247</v>
      </c>
      <c r="H37" s="49" t="s">
        <v>50</v>
      </c>
      <c r="I37" s="50" t="s">
        <v>248</v>
      </c>
      <c r="J37" s="50"/>
      <c r="K37" s="49">
        <v>135</v>
      </c>
      <c r="L37" s="49" t="str">
        <f>"81,9395"</f>
        <v>81,9395</v>
      </c>
      <c r="M37" s="49"/>
    </row>
    <row r="38" spans="1:13">
      <c r="A38" s="47" t="s">
        <v>249</v>
      </c>
      <c r="B38" s="47" t="s">
        <v>250</v>
      </c>
      <c r="C38" s="47" t="s">
        <v>251</v>
      </c>
      <c r="D38" s="47" t="str">
        <f>"0,7563"</f>
        <v>0,7563</v>
      </c>
      <c r="E38" s="47" t="s">
        <v>17</v>
      </c>
      <c r="F38" s="47" t="s">
        <v>148</v>
      </c>
      <c r="G38" s="47" t="s">
        <v>75</v>
      </c>
      <c r="H38" s="48" t="s">
        <v>76</v>
      </c>
      <c r="I38" s="47" t="s">
        <v>182</v>
      </c>
      <c r="J38" s="48"/>
      <c r="K38" s="47">
        <v>182.5</v>
      </c>
      <c r="L38" s="47" t="str">
        <f>"138,0245"</f>
        <v>138,0245</v>
      </c>
      <c r="M38" s="47"/>
    </row>
    <row r="40" spans="1:13" ht="15">
      <c r="A40" s="52" t="s">
        <v>84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3">
      <c r="A41" s="45" t="s">
        <v>252</v>
      </c>
      <c r="B41" s="45" t="s">
        <v>253</v>
      </c>
      <c r="C41" s="45" t="s">
        <v>254</v>
      </c>
      <c r="D41" s="45" t="str">
        <f>"0,5701"</f>
        <v>0,5701</v>
      </c>
      <c r="E41" s="45" t="s">
        <v>17</v>
      </c>
      <c r="F41" s="45" t="s">
        <v>255</v>
      </c>
      <c r="G41" s="45" t="s">
        <v>32</v>
      </c>
      <c r="H41" s="45" t="s">
        <v>83</v>
      </c>
      <c r="I41" s="46"/>
      <c r="J41" s="46"/>
      <c r="K41" s="45">
        <v>235</v>
      </c>
      <c r="L41" s="45" t="str">
        <f>"133,9735"</f>
        <v>133,9735</v>
      </c>
      <c r="M41" s="45"/>
    </row>
    <row r="42" spans="1:13">
      <c r="A42" s="49" t="s">
        <v>256</v>
      </c>
      <c r="B42" s="49" t="s">
        <v>257</v>
      </c>
      <c r="C42" s="49" t="s">
        <v>258</v>
      </c>
      <c r="D42" s="49" t="str">
        <f>"0,5720"</f>
        <v>0,5720</v>
      </c>
      <c r="E42" s="49" t="s">
        <v>17</v>
      </c>
      <c r="F42" s="49" t="s">
        <v>148</v>
      </c>
      <c r="G42" s="50" t="s">
        <v>259</v>
      </c>
      <c r="H42" s="50" t="s">
        <v>259</v>
      </c>
      <c r="I42" s="50" t="s">
        <v>259</v>
      </c>
      <c r="J42" s="50"/>
      <c r="K42" s="49">
        <v>0</v>
      </c>
      <c r="L42" s="49" t="str">
        <f>"0,0000"</f>
        <v>0,0000</v>
      </c>
      <c r="M42" s="49"/>
    </row>
    <row r="43" spans="1:13">
      <c r="A43" s="47" t="s">
        <v>260</v>
      </c>
      <c r="B43" s="47" t="s">
        <v>261</v>
      </c>
      <c r="C43" s="47" t="s">
        <v>262</v>
      </c>
      <c r="D43" s="47" t="str">
        <f>"0,5666"</f>
        <v>0,5666</v>
      </c>
      <c r="E43" s="47" t="s">
        <v>17</v>
      </c>
      <c r="F43" s="47" t="s">
        <v>148</v>
      </c>
      <c r="G43" s="48" t="s">
        <v>259</v>
      </c>
      <c r="H43" s="48" t="s">
        <v>259</v>
      </c>
      <c r="I43" s="48" t="s">
        <v>259</v>
      </c>
      <c r="J43" s="48"/>
      <c r="K43" s="47">
        <v>0</v>
      </c>
      <c r="L43" s="47" t="str">
        <f>"0,0000"</f>
        <v>0,0000</v>
      </c>
      <c r="M43" s="47"/>
    </row>
    <row r="45" spans="1:13" ht="15">
      <c r="A45" s="52" t="s">
        <v>263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6" spans="1:13">
      <c r="A46" s="45" t="s">
        <v>264</v>
      </c>
      <c r="B46" s="45" t="s">
        <v>265</v>
      </c>
      <c r="C46" s="45" t="s">
        <v>266</v>
      </c>
      <c r="D46" s="45" t="str">
        <f>"0,5527"</f>
        <v>0,5527</v>
      </c>
      <c r="E46" s="45" t="s">
        <v>17</v>
      </c>
      <c r="F46" s="45" t="s">
        <v>267</v>
      </c>
      <c r="G46" s="46" t="s">
        <v>268</v>
      </c>
      <c r="H46" s="46" t="s">
        <v>268</v>
      </c>
      <c r="I46" s="46" t="s">
        <v>268</v>
      </c>
      <c r="J46" s="46"/>
      <c r="K46" s="45">
        <v>0</v>
      </c>
      <c r="L46" s="45" t="str">
        <f>"0,0000"</f>
        <v>0,0000</v>
      </c>
      <c r="M46" s="45"/>
    </row>
    <row r="47" spans="1:13">
      <c r="A47" s="47" t="s">
        <v>264</v>
      </c>
      <c r="B47" s="47" t="s">
        <v>269</v>
      </c>
      <c r="C47" s="47" t="s">
        <v>266</v>
      </c>
      <c r="D47" s="47" t="str">
        <f>"0,5698"</f>
        <v>0,5698</v>
      </c>
      <c r="E47" s="47" t="s">
        <v>17</v>
      </c>
      <c r="F47" s="47" t="s">
        <v>267</v>
      </c>
      <c r="G47" s="48" t="s">
        <v>268</v>
      </c>
      <c r="H47" s="48" t="s">
        <v>268</v>
      </c>
      <c r="I47" s="48" t="s">
        <v>268</v>
      </c>
      <c r="J47" s="48"/>
      <c r="K47" s="47">
        <v>0</v>
      </c>
      <c r="L47" s="47" t="str">
        <f>"0,0000"</f>
        <v>0,0000</v>
      </c>
      <c r="M47" s="47"/>
    </row>
    <row r="49" spans="1:13" ht="15">
      <c r="A49" s="52" t="s">
        <v>270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</row>
    <row r="50" spans="1:13">
      <c r="A50" s="35" t="s">
        <v>271</v>
      </c>
      <c r="B50" s="35" t="s">
        <v>272</v>
      </c>
      <c r="C50" s="35" t="s">
        <v>273</v>
      </c>
      <c r="D50" s="35" t="str">
        <f>"0,5335"</f>
        <v>0,5335</v>
      </c>
      <c r="E50" s="35" t="s">
        <v>17</v>
      </c>
      <c r="F50" s="35" t="s">
        <v>148</v>
      </c>
      <c r="G50" s="36" t="s">
        <v>45</v>
      </c>
      <c r="H50" s="35" t="s">
        <v>32</v>
      </c>
      <c r="I50" s="36" t="s">
        <v>41</v>
      </c>
      <c r="J50" s="36"/>
      <c r="K50" s="35">
        <v>230</v>
      </c>
      <c r="L50" s="35" t="str">
        <f>"122,7062"</f>
        <v>122,7062</v>
      </c>
      <c r="M50" s="35"/>
    </row>
    <row r="52" spans="1:13" ht="15">
      <c r="E52" s="37" t="s">
        <v>93</v>
      </c>
    </row>
    <row r="53" spans="1:13" ht="15">
      <c r="E53" s="37" t="s">
        <v>94</v>
      </c>
    </row>
    <row r="54" spans="1:13" ht="15">
      <c r="E54" s="37" t="s">
        <v>95</v>
      </c>
    </row>
    <row r="55" spans="1:13">
      <c r="E55" s="34" t="s">
        <v>96</v>
      </c>
    </row>
    <row r="56" spans="1:13">
      <c r="E56" s="34" t="s">
        <v>97</v>
      </c>
    </row>
    <row r="57" spans="1:13">
      <c r="E57" s="34" t="s">
        <v>98</v>
      </c>
    </row>
    <row r="60" spans="1:13" ht="18">
      <c r="A60" s="38" t="s">
        <v>99</v>
      </c>
      <c r="B60" s="38"/>
    </row>
    <row r="61" spans="1:13" ht="15">
      <c r="A61" s="39" t="s">
        <v>100</v>
      </c>
      <c r="B61" s="39"/>
    </row>
    <row r="62" spans="1:13" ht="14.25">
      <c r="A62" s="41" t="s">
        <v>110</v>
      </c>
      <c r="B62" s="42"/>
    </row>
    <row r="63" spans="1:13" ht="15">
      <c r="A63" s="43" t="s">
        <v>0</v>
      </c>
      <c r="B63" s="43" t="s">
        <v>102</v>
      </c>
      <c r="C63" s="43" t="s">
        <v>103</v>
      </c>
      <c r="D63" s="43" t="s">
        <v>7</v>
      </c>
      <c r="E63" s="43" t="s">
        <v>104</v>
      </c>
    </row>
    <row r="64" spans="1:13">
      <c r="A64" s="40" t="s">
        <v>157</v>
      </c>
      <c r="B64" s="34" t="s">
        <v>110</v>
      </c>
      <c r="C64" s="34" t="s">
        <v>274</v>
      </c>
      <c r="D64" s="34" t="s">
        <v>162</v>
      </c>
      <c r="E64" s="44" t="s">
        <v>275</v>
      </c>
    </row>
    <row r="67" spans="1:5" ht="15">
      <c r="A67" s="39" t="s">
        <v>109</v>
      </c>
      <c r="B67" s="39"/>
    </row>
    <row r="68" spans="1:5" ht="14.25">
      <c r="A68" s="41" t="s">
        <v>276</v>
      </c>
      <c r="B68" s="42"/>
    </row>
    <row r="69" spans="1:5" ht="15">
      <c r="A69" s="43" t="s">
        <v>0</v>
      </c>
      <c r="B69" s="43" t="s">
        <v>102</v>
      </c>
      <c r="C69" s="43" t="s">
        <v>103</v>
      </c>
      <c r="D69" s="43" t="s">
        <v>7</v>
      </c>
      <c r="E69" s="43" t="s">
        <v>104</v>
      </c>
    </row>
    <row r="70" spans="1:5">
      <c r="A70" s="40" t="s">
        <v>224</v>
      </c>
      <c r="B70" s="34" t="s">
        <v>277</v>
      </c>
      <c r="C70" s="34" t="s">
        <v>114</v>
      </c>
      <c r="D70" s="34" t="s">
        <v>43</v>
      </c>
      <c r="E70" s="44" t="s">
        <v>278</v>
      </c>
    </row>
    <row r="71" spans="1:5">
      <c r="A71" s="40" t="s">
        <v>165</v>
      </c>
      <c r="B71" s="34" t="s">
        <v>279</v>
      </c>
      <c r="C71" s="34" t="s">
        <v>280</v>
      </c>
      <c r="D71" s="34" t="s">
        <v>170</v>
      </c>
      <c r="E71" s="44" t="s">
        <v>281</v>
      </c>
    </row>
    <row r="72" spans="1:5">
      <c r="A72" s="40" t="s">
        <v>221</v>
      </c>
      <c r="B72" s="34" t="s">
        <v>279</v>
      </c>
      <c r="C72" s="34" t="s">
        <v>114</v>
      </c>
      <c r="D72" s="34" t="s">
        <v>22</v>
      </c>
      <c r="E72" s="44" t="s">
        <v>282</v>
      </c>
    </row>
    <row r="74" spans="1:5" ht="14.25">
      <c r="A74" s="41" t="s">
        <v>283</v>
      </c>
      <c r="B74" s="42"/>
    </row>
    <row r="75" spans="1:5" ht="15">
      <c r="A75" s="43" t="s">
        <v>0</v>
      </c>
      <c r="B75" s="43" t="s">
        <v>102</v>
      </c>
      <c r="C75" s="43" t="s">
        <v>103</v>
      </c>
      <c r="D75" s="43" t="s">
        <v>7</v>
      </c>
      <c r="E75" s="43" t="s">
        <v>104</v>
      </c>
    </row>
    <row r="76" spans="1:5">
      <c r="A76" s="40" t="s">
        <v>172</v>
      </c>
      <c r="B76" s="34" t="s">
        <v>284</v>
      </c>
      <c r="C76" s="34" t="s">
        <v>285</v>
      </c>
      <c r="D76" s="34" t="s">
        <v>176</v>
      </c>
      <c r="E76" s="44" t="s">
        <v>286</v>
      </c>
    </row>
    <row r="78" spans="1:5" ht="14.25">
      <c r="A78" s="41" t="s">
        <v>110</v>
      </c>
      <c r="B78" s="42"/>
    </row>
    <row r="79" spans="1:5" ht="15">
      <c r="A79" s="43" t="s">
        <v>0</v>
      </c>
      <c r="B79" s="43" t="s">
        <v>102</v>
      </c>
      <c r="C79" s="43" t="s">
        <v>103</v>
      </c>
      <c r="D79" s="43" t="s">
        <v>7</v>
      </c>
      <c r="E79" s="43" t="s">
        <v>104</v>
      </c>
    </row>
    <row r="80" spans="1:5">
      <c r="A80" s="40" t="s">
        <v>252</v>
      </c>
      <c r="B80" s="34" t="s">
        <v>110</v>
      </c>
      <c r="C80" s="34" t="s">
        <v>111</v>
      </c>
      <c r="D80" s="34" t="s">
        <v>83</v>
      </c>
      <c r="E80" s="44" t="s">
        <v>287</v>
      </c>
    </row>
    <row r="81" spans="1:5">
      <c r="A81" s="40" t="s">
        <v>198</v>
      </c>
      <c r="B81" s="34" t="s">
        <v>110</v>
      </c>
      <c r="C81" s="34" t="s">
        <v>119</v>
      </c>
      <c r="D81" s="34" t="s">
        <v>144</v>
      </c>
      <c r="E81" s="44" t="s">
        <v>288</v>
      </c>
    </row>
    <row r="82" spans="1:5">
      <c r="A82" s="40" t="s">
        <v>227</v>
      </c>
      <c r="B82" s="34" t="s">
        <v>110</v>
      </c>
      <c r="C82" s="34" t="s">
        <v>114</v>
      </c>
      <c r="D82" s="34" t="s">
        <v>45</v>
      </c>
      <c r="E82" s="44" t="s">
        <v>289</v>
      </c>
    </row>
    <row r="83" spans="1:5">
      <c r="A83" s="40" t="s">
        <v>204</v>
      </c>
      <c r="B83" s="34" t="s">
        <v>110</v>
      </c>
      <c r="C83" s="34" t="s">
        <v>119</v>
      </c>
      <c r="D83" s="34" t="s">
        <v>30</v>
      </c>
      <c r="E83" s="44" t="s">
        <v>290</v>
      </c>
    </row>
    <row r="84" spans="1:5">
      <c r="A84" s="40" t="s">
        <v>231</v>
      </c>
      <c r="B84" s="34" t="s">
        <v>110</v>
      </c>
      <c r="C84" s="34" t="s">
        <v>114</v>
      </c>
      <c r="D84" s="34" t="s">
        <v>144</v>
      </c>
      <c r="E84" s="44" t="s">
        <v>291</v>
      </c>
    </row>
    <row r="85" spans="1:5">
      <c r="A85" s="40" t="s">
        <v>189</v>
      </c>
      <c r="B85" s="34" t="s">
        <v>110</v>
      </c>
      <c r="C85" s="34" t="s">
        <v>151</v>
      </c>
      <c r="D85" s="34" t="s">
        <v>194</v>
      </c>
      <c r="E85" s="44" t="s">
        <v>292</v>
      </c>
    </row>
    <row r="86" spans="1:5">
      <c r="A86" s="40" t="s">
        <v>271</v>
      </c>
      <c r="B86" s="34" t="s">
        <v>110</v>
      </c>
      <c r="C86" s="34" t="s">
        <v>293</v>
      </c>
      <c r="D86" s="34" t="s">
        <v>32</v>
      </c>
      <c r="E86" s="44" t="s">
        <v>294</v>
      </c>
    </row>
    <row r="87" spans="1:5">
      <c r="A87" s="40" t="s">
        <v>178</v>
      </c>
      <c r="B87" s="34" t="s">
        <v>110</v>
      </c>
      <c r="C87" s="34" t="s">
        <v>106</v>
      </c>
      <c r="D87" s="34" t="s">
        <v>75</v>
      </c>
      <c r="E87" s="44" t="s">
        <v>295</v>
      </c>
    </row>
    <row r="88" spans="1:5">
      <c r="A88" s="40" t="s">
        <v>234</v>
      </c>
      <c r="B88" s="34" t="s">
        <v>110</v>
      </c>
      <c r="C88" s="34" t="s">
        <v>114</v>
      </c>
      <c r="D88" s="34" t="s">
        <v>238</v>
      </c>
      <c r="E88" s="44" t="s">
        <v>296</v>
      </c>
    </row>
    <row r="89" spans="1:5">
      <c r="A89" s="40" t="s">
        <v>206</v>
      </c>
      <c r="B89" s="34" t="s">
        <v>110</v>
      </c>
      <c r="C89" s="34" t="s">
        <v>119</v>
      </c>
      <c r="D89" s="34" t="s">
        <v>210</v>
      </c>
      <c r="E89" s="44" t="s">
        <v>297</v>
      </c>
    </row>
    <row r="90" spans="1:5">
      <c r="A90" s="40" t="s">
        <v>239</v>
      </c>
      <c r="B90" s="34" t="s">
        <v>110</v>
      </c>
      <c r="C90" s="34" t="s">
        <v>114</v>
      </c>
      <c r="D90" s="34" t="s">
        <v>51</v>
      </c>
      <c r="E90" s="44" t="s">
        <v>298</v>
      </c>
    </row>
    <row r="91" spans="1:5">
      <c r="A91" s="40" t="s">
        <v>195</v>
      </c>
      <c r="B91" s="34" t="s">
        <v>110</v>
      </c>
      <c r="C91" s="34" t="s">
        <v>151</v>
      </c>
      <c r="D91" s="34" t="s">
        <v>81</v>
      </c>
      <c r="E91" s="44" t="s">
        <v>299</v>
      </c>
    </row>
    <row r="93" spans="1:5" ht="14.25">
      <c r="A93" s="41" t="s">
        <v>101</v>
      </c>
      <c r="B93" s="42"/>
    </row>
    <row r="94" spans="1:5" ht="15">
      <c r="A94" s="43" t="s">
        <v>0</v>
      </c>
      <c r="B94" s="43" t="s">
        <v>102</v>
      </c>
      <c r="C94" s="43" t="s">
        <v>103</v>
      </c>
      <c r="D94" s="43" t="s">
        <v>7</v>
      </c>
      <c r="E94" s="43" t="s">
        <v>104</v>
      </c>
    </row>
    <row r="95" spans="1:5">
      <c r="A95" s="40" t="s">
        <v>249</v>
      </c>
      <c r="B95" s="34" t="s">
        <v>300</v>
      </c>
      <c r="C95" s="34" t="s">
        <v>114</v>
      </c>
      <c r="D95" s="34" t="s">
        <v>182</v>
      </c>
      <c r="E95" s="44" t="s">
        <v>301</v>
      </c>
    </row>
    <row r="96" spans="1:5">
      <c r="A96" s="40" t="s">
        <v>183</v>
      </c>
      <c r="B96" s="34" t="s">
        <v>302</v>
      </c>
      <c r="C96" s="34" t="s">
        <v>106</v>
      </c>
      <c r="D96" s="34" t="s">
        <v>188</v>
      </c>
      <c r="E96" s="44" t="s">
        <v>303</v>
      </c>
    </row>
    <row r="97" spans="1:5">
      <c r="A97" s="40" t="s">
        <v>214</v>
      </c>
      <c r="B97" s="34" t="s">
        <v>105</v>
      </c>
      <c r="C97" s="34" t="s">
        <v>119</v>
      </c>
      <c r="D97" s="34" t="s">
        <v>44</v>
      </c>
      <c r="E97" s="44" t="s">
        <v>304</v>
      </c>
    </row>
    <row r="98" spans="1:5">
      <c r="A98" s="40" t="s">
        <v>244</v>
      </c>
      <c r="B98" s="34" t="s">
        <v>305</v>
      </c>
      <c r="C98" s="34" t="s">
        <v>114</v>
      </c>
      <c r="D98" s="34" t="s">
        <v>50</v>
      </c>
      <c r="E98" s="44" t="s">
        <v>306</v>
      </c>
    </row>
    <row r="99" spans="1:5">
      <c r="A99" s="40" t="s">
        <v>218</v>
      </c>
      <c r="B99" s="34" t="s">
        <v>105</v>
      </c>
      <c r="C99" s="34" t="s">
        <v>119</v>
      </c>
      <c r="D99" s="34" t="s">
        <v>162</v>
      </c>
      <c r="E99" s="44" t="s">
        <v>307</v>
      </c>
    </row>
  </sheetData>
  <mergeCells count="21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49:L49"/>
    <mergeCell ref="A14:L14"/>
    <mergeCell ref="A18:L18"/>
    <mergeCell ref="A22:L22"/>
    <mergeCell ref="A30:L30"/>
    <mergeCell ref="A40:L40"/>
    <mergeCell ref="A45:L4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selection activeCell="F14" sqref="F14"/>
    </sheetView>
  </sheetViews>
  <sheetFormatPr defaultRowHeight="12.75"/>
  <cols>
    <col min="1" max="1" width="27" style="34" bestFit="1" customWidth="1"/>
    <col min="2" max="2" width="26" style="34" bestFit="1" customWidth="1"/>
    <col min="3" max="3" width="7.7109375" style="34" bestFit="1" customWidth="1"/>
    <col min="4" max="4" width="6.85546875" style="34" bestFit="1" customWidth="1"/>
    <col min="5" max="5" width="17.28515625" style="34" bestFit="1" customWidth="1"/>
    <col min="6" max="6" width="27.28515625" style="34" bestFit="1" customWidth="1"/>
    <col min="7" max="9" width="5.5703125" style="34" bestFit="1" customWidth="1"/>
    <col min="10" max="10" width="4.85546875" style="34" bestFit="1" customWidth="1"/>
    <col min="11" max="11" width="6.7109375" style="34" bestFit="1" customWidth="1"/>
    <col min="12" max="12" width="6.5703125" style="34" bestFit="1" customWidth="1"/>
    <col min="13" max="13" width="7.42578125" style="34" bestFit="1" customWidth="1"/>
  </cols>
  <sheetData>
    <row r="1" spans="1:13" s="1" customFormat="1" ht="15" customHeight="1">
      <c r="A1" s="53" t="s">
        <v>857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1" customFormat="1" ht="13.5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7" customFormat="1" ht="12.75" customHeight="1">
      <c r="A3" s="59" t="s">
        <v>0</v>
      </c>
      <c r="B3" s="61" t="s">
        <v>12</v>
      </c>
      <c r="C3" s="61" t="s">
        <v>11</v>
      </c>
      <c r="D3" s="63" t="s">
        <v>1</v>
      </c>
      <c r="E3" s="63" t="s">
        <v>2</v>
      </c>
      <c r="F3" s="64" t="s">
        <v>3</v>
      </c>
      <c r="G3" s="59" t="s">
        <v>5</v>
      </c>
      <c r="H3" s="63"/>
      <c r="I3" s="63"/>
      <c r="J3" s="66"/>
      <c r="K3" s="67" t="s">
        <v>7</v>
      </c>
      <c r="L3" s="63" t="s">
        <v>9</v>
      </c>
      <c r="M3" s="66" t="s">
        <v>8</v>
      </c>
    </row>
    <row r="4" spans="1:13" s="7" customFormat="1" ht="23.25" customHeight="1" thickBot="1">
      <c r="A4" s="60"/>
      <c r="B4" s="62"/>
      <c r="C4" s="62"/>
      <c r="D4" s="62"/>
      <c r="E4" s="62"/>
      <c r="F4" s="65"/>
      <c r="G4" s="3">
        <v>1</v>
      </c>
      <c r="H4" s="2">
        <v>2</v>
      </c>
      <c r="I4" s="2">
        <v>3</v>
      </c>
      <c r="J4" s="4" t="s">
        <v>10</v>
      </c>
      <c r="K4" s="68"/>
      <c r="L4" s="62"/>
      <c r="M4" s="69"/>
    </row>
    <row r="5" spans="1:13" ht="15">
      <c r="A5" s="70" t="s">
        <v>13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3">
      <c r="A6" s="35" t="s">
        <v>308</v>
      </c>
      <c r="B6" s="35" t="s">
        <v>309</v>
      </c>
      <c r="C6" s="35" t="s">
        <v>310</v>
      </c>
      <c r="D6" s="35" t="str">
        <f>"0,6969"</f>
        <v>0,6969</v>
      </c>
      <c r="E6" s="35" t="s">
        <v>17</v>
      </c>
      <c r="F6" s="35" t="s">
        <v>311</v>
      </c>
      <c r="G6" s="36" t="s">
        <v>107</v>
      </c>
      <c r="H6" s="36" t="s">
        <v>107</v>
      </c>
      <c r="I6" s="36" t="s">
        <v>107</v>
      </c>
      <c r="J6" s="36"/>
      <c r="K6" s="35">
        <v>0</v>
      </c>
      <c r="L6" s="35" t="str">
        <f>"0,0000"</f>
        <v>0,0000</v>
      </c>
      <c r="M6" s="35"/>
    </row>
    <row r="8" spans="1:13" ht="15">
      <c r="E8" s="37" t="s">
        <v>93</v>
      </c>
    </row>
    <row r="9" spans="1:13" ht="15">
      <c r="E9" s="37" t="s">
        <v>94</v>
      </c>
    </row>
    <row r="10" spans="1:13" ht="15">
      <c r="E10" s="37" t="s">
        <v>95</v>
      </c>
    </row>
    <row r="11" spans="1:13">
      <c r="E11" s="34" t="s">
        <v>96</v>
      </c>
    </row>
    <row r="12" spans="1:13">
      <c r="E12" s="34" t="s">
        <v>97</v>
      </c>
    </row>
    <row r="13" spans="1:13">
      <c r="E13" s="34" t="s">
        <v>98</v>
      </c>
    </row>
    <row r="16" spans="1:13" ht="18">
      <c r="A16" s="38" t="s">
        <v>99</v>
      </c>
      <c r="B16" s="38"/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F12" sqref="F12"/>
    </sheetView>
  </sheetViews>
  <sheetFormatPr defaultRowHeight="12.75"/>
  <cols>
    <col min="1" max="1" width="27" style="34" bestFit="1" customWidth="1"/>
    <col min="2" max="2" width="19.140625" style="34" bestFit="1" customWidth="1"/>
    <col min="3" max="3" width="7.7109375" style="34" bestFit="1" customWidth="1"/>
    <col min="4" max="4" width="6.85546875" style="34" bestFit="1" customWidth="1"/>
    <col min="5" max="5" width="17.28515625" style="34" bestFit="1" customWidth="1"/>
    <col min="6" max="6" width="34.140625" style="34" bestFit="1" customWidth="1"/>
    <col min="7" max="9" width="5.5703125" style="34" bestFit="1" customWidth="1"/>
    <col min="10" max="10" width="4.85546875" style="34" bestFit="1" customWidth="1"/>
    <col min="11" max="11" width="6.7109375" style="34" bestFit="1" customWidth="1"/>
    <col min="12" max="12" width="7.5703125" style="34" bestFit="1" customWidth="1"/>
    <col min="13" max="13" width="7.42578125" style="34" bestFit="1" customWidth="1"/>
  </cols>
  <sheetData>
    <row r="1" spans="1:13" s="1" customFormat="1" ht="15" customHeight="1">
      <c r="A1" s="53" t="s">
        <v>858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1" customFormat="1" ht="13.5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7" customFormat="1" ht="12.75" customHeight="1">
      <c r="A3" s="59" t="s">
        <v>0</v>
      </c>
      <c r="B3" s="61" t="s">
        <v>12</v>
      </c>
      <c r="C3" s="61" t="s">
        <v>11</v>
      </c>
      <c r="D3" s="63" t="s">
        <v>1</v>
      </c>
      <c r="E3" s="63" t="s">
        <v>2</v>
      </c>
      <c r="F3" s="64" t="s">
        <v>3</v>
      </c>
      <c r="G3" s="59" t="s">
        <v>5</v>
      </c>
      <c r="H3" s="63"/>
      <c r="I3" s="63"/>
      <c r="J3" s="66"/>
      <c r="K3" s="67" t="s">
        <v>7</v>
      </c>
      <c r="L3" s="63" t="s">
        <v>9</v>
      </c>
      <c r="M3" s="66" t="s">
        <v>8</v>
      </c>
    </row>
    <row r="4" spans="1:13" s="7" customFormat="1" ht="23.25" customHeight="1" thickBot="1">
      <c r="A4" s="60"/>
      <c r="B4" s="62"/>
      <c r="C4" s="62"/>
      <c r="D4" s="62"/>
      <c r="E4" s="62"/>
      <c r="F4" s="65"/>
      <c r="G4" s="3">
        <v>1</v>
      </c>
      <c r="H4" s="2">
        <v>2</v>
      </c>
      <c r="I4" s="2">
        <v>3</v>
      </c>
      <c r="J4" s="4" t="s">
        <v>10</v>
      </c>
      <c r="K4" s="68"/>
      <c r="L4" s="62"/>
      <c r="M4" s="69"/>
    </row>
    <row r="5" spans="1:13" ht="15">
      <c r="A5" s="70" t="s">
        <v>53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3">
      <c r="A6" s="35" t="s">
        <v>239</v>
      </c>
      <c r="B6" s="35" t="s">
        <v>240</v>
      </c>
      <c r="C6" s="35" t="s">
        <v>241</v>
      </c>
      <c r="D6" s="35" t="str">
        <f>"0,5949"</f>
        <v>0,5949</v>
      </c>
      <c r="E6" s="35" t="s">
        <v>17</v>
      </c>
      <c r="F6" s="35" t="s">
        <v>242</v>
      </c>
      <c r="G6" s="35" t="s">
        <v>243</v>
      </c>
      <c r="H6" s="35" t="s">
        <v>51</v>
      </c>
      <c r="I6" s="36" t="s">
        <v>44</v>
      </c>
      <c r="J6" s="36"/>
      <c r="K6" s="35">
        <v>145</v>
      </c>
      <c r="L6" s="35" t="str">
        <f>"86,2605"</f>
        <v>86,2605</v>
      </c>
      <c r="M6" s="35"/>
    </row>
    <row r="8" spans="1:13" ht="15">
      <c r="E8" s="37" t="s">
        <v>93</v>
      </c>
    </row>
    <row r="9" spans="1:13" ht="15">
      <c r="E9" s="37" t="s">
        <v>94</v>
      </c>
    </row>
    <row r="10" spans="1:13" ht="15">
      <c r="E10" s="37" t="s">
        <v>95</v>
      </c>
    </row>
    <row r="11" spans="1:13">
      <c r="E11" s="34" t="s">
        <v>96</v>
      </c>
    </row>
    <row r="12" spans="1:13">
      <c r="E12" s="34" t="s">
        <v>97</v>
      </c>
    </row>
    <row r="13" spans="1:13">
      <c r="E13" s="34" t="s">
        <v>98</v>
      </c>
    </row>
    <row r="16" spans="1:13" ht="18">
      <c r="A16" s="38" t="s">
        <v>99</v>
      </c>
      <c r="B16" s="38"/>
    </row>
    <row r="17" spans="1:5" ht="15">
      <c r="A17" s="39" t="s">
        <v>109</v>
      </c>
      <c r="B17" s="39"/>
    </row>
    <row r="18" spans="1:5" ht="14.25">
      <c r="A18" s="41" t="s">
        <v>110</v>
      </c>
      <c r="B18" s="42"/>
    </row>
    <row r="19" spans="1:5" ht="15">
      <c r="A19" s="43" t="s">
        <v>0</v>
      </c>
      <c r="B19" s="43" t="s">
        <v>102</v>
      </c>
      <c r="C19" s="43" t="s">
        <v>103</v>
      </c>
      <c r="D19" s="43" t="s">
        <v>7</v>
      </c>
      <c r="E19" s="43" t="s">
        <v>104</v>
      </c>
    </row>
    <row r="20" spans="1:5">
      <c r="A20" s="40" t="s">
        <v>239</v>
      </c>
      <c r="B20" s="34" t="s">
        <v>110</v>
      </c>
      <c r="C20" s="34" t="s">
        <v>114</v>
      </c>
      <c r="D20" s="34" t="s">
        <v>51</v>
      </c>
      <c r="E20" s="44" t="s">
        <v>298</v>
      </c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1"/>
  <sheetViews>
    <sheetView workbookViewId="0">
      <selection activeCell="G19" sqref="G19"/>
    </sheetView>
  </sheetViews>
  <sheetFormatPr defaultRowHeight="12.75"/>
  <cols>
    <col min="1" max="1" width="27" style="34" bestFit="1" customWidth="1"/>
    <col min="2" max="2" width="26.85546875" style="34" bestFit="1" customWidth="1"/>
    <col min="3" max="3" width="7.7109375" style="34" bestFit="1" customWidth="1"/>
    <col min="4" max="4" width="6.85546875" style="34" bestFit="1" customWidth="1"/>
    <col min="5" max="5" width="17.28515625" style="34" bestFit="1" customWidth="1"/>
    <col min="6" max="6" width="24.42578125" style="34" bestFit="1" customWidth="1"/>
    <col min="7" max="9" width="5.5703125" style="34" bestFit="1" customWidth="1"/>
    <col min="10" max="10" width="4.85546875" style="34" bestFit="1" customWidth="1"/>
    <col min="11" max="11" width="6.7109375" style="34" bestFit="1" customWidth="1"/>
    <col min="12" max="12" width="8.5703125" style="34" bestFit="1" customWidth="1"/>
    <col min="13" max="13" width="7.42578125" style="34" bestFit="1" customWidth="1"/>
  </cols>
  <sheetData>
    <row r="1" spans="1:13" s="1" customFormat="1" ht="15" customHeight="1">
      <c r="A1" s="53" t="s">
        <v>859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1" customFormat="1" ht="13.5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7" customFormat="1" ht="12.75" customHeight="1">
      <c r="A3" s="59" t="s">
        <v>0</v>
      </c>
      <c r="B3" s="61" t="s">
        <v>12</v>
      </c>
      <c r="C3" s="61" t="s">
        <v>11</v>
      </c>
      <c r="D3" s="63" t="s">
        <v>1</v>
      </c>
      <c r="E3" s="63" t="s">
        <v>2</v>
      </c>
      <c r="F3" s="64" t="s">
        <v>3</v>
      </c>
      <c r="G3" s="59" t="s">
        <v>5</v>
      </c>
      <c r="H3" s="63"/>
      <c r="I3" s="63"/>
      <c r="J3" s="66"/>
      <c r="K3" s="67" t="s">
        <v>7</v>
      </c>
      <c r="L3" s="63" t="s">
        <v>9</v>
      </c>
      <c r="M3" s="66" t="s">
        <v>8</v>
      </c>
    </row>
    <row r="4" spans="1:13" s="7" customFormat="1" ht="23.25" customHeight="1" thickBot="1">
      <c r="A4" s="60"/>
      <c r="B4" s="62"/>
      <c r="C4" s="62"/>
      <c r="D4" s="62"/>
      <c r="E4" s="62"/>
      <c r="F4" s="65"/>
      <c r="G4" s="3">
        <v>1</v>
      </c>
      <c r="H4" s="2">
        <v>2</v>
      </c>
      <c r="I4" s="2">
        <v>3</v>
      </c>
      <c r="J4" s="4" t="s">
        <v>10</v>
      </c>
      <c r="K4" s="68"/>
      <c r="L4" s="62"/>
      <c r="M4" s="69"/>
    </row>
    <row r="5" spans="1:13" ht="15">
      <c r="A5" s="70" t="s">
        <v>53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3">
      <c r="A6" s="35" t="s">
        <v>77</v>
      </c>
      <c r="B6" s="35" t="s">
        <v>78</v>
      </c>
      <c r="C6" s="35" t="s">
        <v>79</v>
      </c>
      <c r="D6" s="35" t="str">
        <f>"0,7947"</f>
        <v>0,7947</v>
      </c>
      <c r="E6" s="35" t="s">
        <v>17</v>
      </c>
      <c r="F6" s="35" t="s">
        <v>18</v>
      </c>
      <c r="G6" s="35" t="s">
        <v>59</v>
      </c>
      <c r="H6" s="35" t="s">
        <v>70</v>
      </c>
      <c r="I6" s="36" t="s">
        <v>76</v>
      </c>
      <c r="J6" s="36"/>
      <c r="K6" s="35">
        <v>175</v>
      </c>
      <c r="L6" s="35" t="str">
        <f>"139,0793"</f>
        <v>139,0793</v>
      </c>
      <c r="M6" s="35"/>
    </row>
    <row r="8" spans="1:13" ht="15">
      <c r="A8" s="52" t="s">
        <v>263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3">
      <c r="A9" s="35" t="s">
        <v>840</v>
      </c>
      <c r="B9" s="35" t="s">
        <v>841</v>
      </c>
      <c r="C9" s="35" t="s">
        <v>842</v>
      </c>
      <c r="D9" s="35" t="str">
        <f>"0,5540"</f>
        <v>0,5540</v>
      </c>
      <c r="E9" s="35" t="s">
        <v>88</v>
      </c>
      <c r="F9" s="35" t="s">
        <v>89</v>
      </c>
      <c r="G9" s="35" t="s">
        <v>91</v>
      </c>
      <c r="H9" s="36" t="s">
        <v>843</v>
      </c>
      <c r="I9" s="36" t="s">
        <v>843</v>
      </c>
      <c r="J9" s="36"/>
      <c r="K9" s="35">
        <v>320</v>
      </c>
      <c r="L9" s="35" t="str">
        <f>"177,2640"</f>
        <v>177,2640</v>
      </c>
      <c r="M9" s="35"/>
    </row>
    <row r="11" spans="1:13" ht="15">
      <c r="A11" s="52" t="s">
        <v>270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3">
      <c r="A12" s="35" t="s">
        <v>693</v>
      </c>
      <c r="B12" s="35" t="s">
        <v>694</v>
      </c>
      <c r="C12" s="35" t="s">
        <v>695</v>
      </c>
      <c r="D12" s="35" t="str">
        <f>"0,5391"</f>
        <v>0,5391</v>
      </c>
      <c r="E12" s="35" t="s">
        <v>88</v>
      </c>
      <c r="F12" s="35" t="s">
        <v>696</v>
      </c>
      <c r="G12" s="35" t="s">
        <v>58</v>
      </c>
      <c r="H12" s="35" t="s">
        <v>90</v>
      </c>
      <c r="I12" s="36"/>
      <c r="J12" s="36"/>
      <c r="K12" s="35">
        <v>300</v>
      </c>
      <c r="L12" s="35" t="str">
        <f>"161,7450"</f>
        <v>161,7450</v>
      </c>
      <c r="M12" s="35"/>
    </row>
    <row r="14" spans="1:13" ht="15">
      <c r="E14" s="37" t="s">
        <v>93</v>
      </c>
    </row>
    <row r="15" spans="1:13" ht="15">
      <c r="E15" s="37" t="s">
        <v>94</v>
      </c>
    </row>
    <row r="16" spans="1:13" ht="15">
      <c r="E16" s="37" t="s">
        <v>95</v>
      </c>
    </row>
    <row r="17" spans="1:5">
      <c r="E17" s="34" t="s">
        <v>96</v>
      </c>
    </row>
    <row r="18" spans="1:5">
      <c r="E18" s="34" t="s">
        <v>97</v>
      </c>
    </row>
    <row r="19" spans="1:5">
      <c r="E19" s="34" t="s">
        <v>98</v>
      </c>
    </row>
    <row r="22" spans="1:5" ht="18">
      <c r="A22" s="38" t="s">
        <v>99</v>
      </c>
      <c r="B22" s="38"/>
    </row>
    <row r="23" spans="1:5" ht="15">
      <c r="A23" s="39" t="s">
        <v>109</v>
      </c>
      <c r="B23" s="39"/>
    </row>
    <row r="24" spans="1:5" ht="14.25">
      <c r="A24" s="41" t="s">
        <v>110</v>
      </c>
      <c r="B24" s="42"/>
    </row>
    <row r="25" spans="1:5" ht="15">
      <c r="A25" s="43" t="s">
        <v>0</v>
      </c>
      <c r="B25" s="43" t="s">
        <v>102</v>
      </c>
      <c r="C25" s="43" t="s">
        <v>103</v>
      </c>
      <c r="D25" s="43" t="s">
        <v>7</v>
      </c>
      <c r="E25" s="43" t="s">
        <v>104</v>
      </c>
    </row>
    <row r="26" spans="1:5">
      <c r="A26" s="40" t="s">
        <v>840</v>
      </c>
      <c r="B26" s="34" t="s">
        <v>110</v>
      </c>
      <c r="C26" s="34" t="s">
        <v>625</v>
      </c>
      <c r="D26" s="34" t="s">
        <v>91</v>
      </c>
      <c r="E26" s="44" t="s">
        <v>844</v>
      </c>
    </row>
    <row r="27" spans="1:5">
      <c r="A27" s="40" t="s">
        <v>693</v>
      </c>
      <c r="B27" s="34" t="s">
        <v>110</v>
      </c>
      <c r="C27" s="34" t="s">
        <v>293</v>
      </c>
      <c r="D27" s="34" t="s">
        <v>90</v>
      </c>
      <c r="E27" s="44" t="s">
        <v>699</v>
      </c>
    </row>
    <row r="29" spans="1:5" ht="14.25">
      <c r="A29" s="41" t="s">
        <v>101</v>
      </c>
      <c r="B29" s="42"/>
    </row>
    <row r="30" spans="1:5" ht="15">
      <c r="A30" s="43" t="s">
        <v>0</v>
      </c>
      <c r="B30" s="43" t="s">
        <v>102</v>
      </c>
      <c r="C30" s="43" t="s">
        <v>103</v>
      </c>
      <c r="D30" s="43" t="s">
        <v>7</v>
      </c>
      <c r="E30" s="43" t="s">
        <v>104</v>
      </c>
    </row>
    <row r="31" spans="1:5">
      <c r="A31" s="40" t="s">
        <v>77</v>
      </c>
      <c r="B31" s="34" t="s">
        <v>126</v>
      </c>
      <c r="C31" s="34" t="s">
        <v>114</v>
      </c>
      <c r="D31" s="34" t="s">
        <v>70</v>
      </c>
      <c r="E31" s="44" t="s">
        <v>845</v>
      </c>
    </row>
  </sheetData>
  <mergeCells count="14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A12" sqref="A12:L12"/>
    </sheetView>
  </sheetViews>
  <sheetFormatPr defaultRowHeight="12.75"/>
  <cols>
    <col min="1" max="1" width="27" style="34" bestFit="1" customWidth="1"/>
    <col min="2" max="2" width="26.85546875" style="34" bestFit="1" customWidth="1"/>
    <col min="3" max="3" width="7.7109375" style="34" bestFit="1" customWidth="1"/>
    <col min="4" max="4" width="6.85546875" style="34" bestFit="1" customWidth="1"/>
    <col min="5" max="5" width="17.28515625" style="34" bestFit="1" customWidth="1"/>
    <col min="6" max="6" width="27.28515625" style="34" bestFit="1" customWidth="1"/>
    <col min="7" max="7" width="4.7109375" style="34" bestFit="1" customWidth="1"/>
    <col min="8" max="8" width="7.5703125" style="34" bestFit="1" customWidth="1"/>
    <col min="9" max="9" width="2.140625" style="34" bestFit="1" customWidth="1"/>
    <col min="10" max="10" width="4.85546875" style="34" bestFit="1" customWidth="1"/>
    <col min="11" max="11" width="6.7109375" style="34" bestFit="1" customWidth="1"/>
    <col min="12" max="12" width="9.5703125" style="34" bestFit="1" customWidth="1"/>
    <col min="13" max="13" width="7.42578125" style="34" bestFit="1" customWidth="1"/>
    <col min="257" max="257" width="27" bestFit="1" customWidth="1"/>
    <col min="258" max="258" width="26.85546875" bestFit="1" customWidth="1"/>
    <col min="259" max="259" width="7.7109375" bestFit="1" customWidth="1"/>
    <col min="260" max="260" width="6.85546875" bestFit="1" customWidth="1"/>
    <col min="261" max="261" width="17.28515625" bestFit="1" customWidth="1"/>
    <col min="262" max="262" width="27.28515625" bestFit="1" customWidth="1"/>
    <col min="263" max="263" width="4.7109375" bestFit="1" customWidth="1"/>
    <col min="264" max="264" width="7.5703125" bestFit="1" customWidth="1"/>
    <col min="265" max="265" width="2.140625" bestFit="1" customWidth="1"/>
    <col min="266" max="266" width="4.85546875" bestFit="1" customWidth="1"/>
    <col min="267" max="267" width="6.7109375" bestFit="1" customWidth="1"/>
    <col min="268" max="268" width="9.5703125" bestFit="1" customWidth="1"/>
    <col min="269" max="269" width="7.42578125" bestFit="1" customWidth="1"/>
    <col min="513" max="513" width="27" bestFit="1" customWidth="1"/>
    <col min="514" max="514" width="26.85546875" bestFit="1" customWidth="1"/>
    <col min="515" max="515" width="7.7109375" bestFit="1" customWidth="1"/>
    <col min="516" max="516" width="6.85546875" bestFit="1" customWidth="1"/>
    <col min="517" max="517" width="17.28515625" bestFit="1" customWidth="1"/>
    <col min="518" max="518" width="27.28515625" bestFit="1" customWidth="1"/>
    <col min="519" max="519" width="4.7109375" bestFit="1" customWidth="1"/>
    <col min="520" max="520" width="7.5703125" bestFit="1" customWidth="1"/>
    <col min="521" max="521" width="2.140625" bestFit="1" customWidth="1"/>
    <col min="522" max="522" width="4.85546875" bestFit="1" customWidth="1"/>
    <col min="523" max="523" width="6.7109375" bestFit="1" customWidth="1"/>
    <col min="524" max="524" width="9.5703125" bestFit="1" customWidth="1"/>
    <col min="525" max="525" width="7.42578125" bestFit="1" customWidth="1"/>
    <col min="769" max="769" width="27" bestFit="1" customWidth="1"/>
    <col min="770" max="770" width="26.85546875" bestFit="1" customWidth="1"/>
    <col min="771" max="771" width="7.7109375" bestFit="1" customWidth="1"/>
    <col min="772" max="772" width="6.85546875" bestFit="1" customWidth="1"/>
    <col min="773" max="773" width="17.28515625" bestFit="1" customWidth="1"/>
    <col min="774" max="774" width="27.28515625" bestFit="1" customWidth="1"/>
    <col min="775" max="775" width="4.7109375" bestFit="1" customWidth="1"/>
    <col min="776" max="776" width="7.5703125" bestFit="1" customWidth="1"/>
    <col min="777" max="777" width="2.140625" bestFit="1" customWidth="1"/>
    <col min="778" max="778" width="4.85546875" bestFit="1" customWidth="1"/>
    <col min="779" max="779" width="6.7109375" bestFit="1" customWidth="1"/>
    <col min="780" max="780" width="9.5703125" bestFit="1" customWidth="1"/>
    <col min="781" max="781" width="7.42578125" bestFit="1" customWidth="1"/>
    <col min="1025" max="1025" width="27" bestFit="1" customWidth="1"/>
    <col min="1026" max="1026" width="26.85546875" bestFit="1" customWidth="1"/>
    <col min="1027" max="1027" width="7.7109375" bestFit="1" customWidth="1"/>
    <col min="1028" max="1028" width="6.85546875" bestFit="1" customWidth="1"/>
    <col min="1029" max="1029" width="17.28515625" bestFit="1" customWidth="1"/>
    <col min="1030" max="1030" width="27.28515625" bestFit="1" customWidth="1"/>
    <col min="1031" max="1031" width="4.7109375" bestFit="1" customWidth="1"/>
    <col min="1032" max="1032" width="7.5703125" bestFit="1" customWidth="1"/>
    <col min="1033" max="1033" width="2.140625" bestFit="1" customWidth="1"/>
    <col min="1034" max="1034" width="4.85546875" bestFit="1" customWidth="1"/>
    <col min="1035" max="1035" width="6.7109375" bestFit="1" customWidth="1"/>
    <col min="1036" max="1036" width="9.5703125" bestFit="1" customWidth="1"/>
    <col min="1037" max="1037" width="7.42578125" bestFit="1" customWidth="1"/>
    <col min="1281" max="1281" width="27" bestFit="1" customWidth="1"/>
    <col min="1282" max="1282" width="26.85546875" bestFit="1" customWidth="1"/>
    <col min="1283" max="1283" width="7.7109375" bestFit="1" customWidth="1"/>
    <col min="1284" max="1284" width="6.85546875" bestFit="1" customWidth="1"/>
    <col min="1285" max="1285" width="17.28515625" bestFit="1" customWidth="1"/>
    <col min="1286" max="1286" width="27.28515625" bestFit="1" customWidth="1"/>
    <col min="1287" max="1287" width="4.7109375" bestFit="1" customWidth="1"/>
    <col min="1288" max="1288" width="7.5703125" bestFit="1" customWidth="1"/>
    <col min="1289" max="1289" width="2.140625" bestFit="1" customWidth="1"/>
    <col min="1290" max="1290" width="4.85546875" bestFit="1" customWidth="1"/>
    <col min="1291" max="1291" width="6.7109375" bestFit="1" customWidth="1"/>
    <col min="1292" max="1292" width="9.5703125" bestFit="1" customWidth="1"/>
    <col min="1293" max="1293" width="7.42578125" bestFit="1" customWidth="1"/>
    <col min="1537" max="1537" width="27" bestFit="1" customWidth="1"/>
    <col min="1538" max="1538" width="26.85546875" bestFit="1" customWidth="1"/>
    <col min="1539" max="1539" width="7.7109375" bestFit="1" customWidth="1"/>
    <col min="1540" max="1540" width="6.85546875" bestFit="1" customWidth="1"/>
    <col min="1541" max="1541" width="17.28515625" bestFit="1" customWidth="1"/>
    <col min="1542" max="1542" width="27.28515625" bestFit="1" customWidth="1"/>
    <col min="1543" max="1543" width="4.7109375" bestFit="1" customWidth="1"/>
    <col min="1544" max="1544" width="7.5703125" bestFit="1" customWidth="1"/>
    <col min="1545" max="1545" width="2.140625" bestFit="1" customWidth="1"/>
    <col min="1546" max="1546" width="4.85546875" bestFit="1" customWidth="1"/>
    <col min="1547" max="1547" width="6.7109375" bestFit="1" customWidth="1"/>
    <col min="1548" max="1548" width="9.5703125" bestFit="1" customWidth="1"/>
    <col min="1549" max="1549" width="7.42578125" bestFit="1" customWidth="1"/>
    <col min="1793" max="1793" width="27" bestFit="1" customWidth="1"/>
    <col min="1794" max="1794" width="26.85546875" bestFit="1" customWidth="1"/>
    <col min="1795" max="1795" width="7.7109375" bestFit="1" customWidth="1"/>
    <col min="1796" max="1796" width="6.85546875" bestFit="1" customWidth="1"/>
    <col min="1797" max="1797" width="17.28515625" bestFit="1" customWidth="1"/>
    <col min="1798" max="1798" width="27.28515625" bestFit="1" customWidth="1"/>
    <col min="1799" max="1799" width="4.7109375" bestFit="1" customWidth="1"/>
    <col min="1800" max="1800" width="7.5703125" bestFit="1" customWidth="1"/>
    <col min="1801" max="1801" width="2.140625" bestFit="1" customWidth="1"/>
    <col min="1802" max="1802" width="4.85546875" bestFit="1" customWidth="1"/>
    <col min="1803" max="1803" width="6.7109375" bestFit="1" customWidth="1"/>
    <col min="1804" max="1804" width="9.5703125" bestFit="1" customWidth="1"/>
    <col min="1805" max="1805" width="7.42578125" bestFit="1" customWidth="1"/>
    <col min="2049" max="2049" width="27" bestFit="1" customWidth="1"/>
    <col min="2050" max="2050" width="26.85546875" bestFit="1" customWidth="1"/>
    <col min="2051" max="2051" width="7.7109375" bestFit="1" customWidth="1"/>
    <col min="2052" max="2052" width="6.85546875" bestFit="1" customWidth="1"/>
    <col min="2053" max="2053" width="17.28515625" bestFit="1" customWidth="1"/>
    <col min="2054" max="2054" width="27.28515625" bestFit="1" customWidth="1"/>
    <col min="2055" max="2055" width="4.7109375" bestFit="1" customWidth="1"/>
    <col min="2056" max="2056" width="7.5703125" bestFit="1" customWidth="1"/>
    <col min="2057" max="2057" width="2.140625" bestFit="1" customWidth="1"/>
    <col min="2058" max="2058" width="4.85546875" bestFit="1" customWidth="1"/>
    <col min="2059" max="2059" width="6.7109375" bestFit="1" customWidth="1"/>
    <col min="2060" max="2060" width="9.5703125" bestFit="1" customWidth="1"/>
    <col min="2061" max="2061" width="7.42578125" bestFit="1" customWidth="1"/>
    <col min="2305" max="2305" width="27" bestFit="1" customWidth="1"/>
    <col min="2306" max="2306" width="26.85546875" bestFit="1" customWidth="1"/>
    <col min="2307" max="2307" width="7.7109375" bestFit="1" customWidth="1"/>
    <col min="2308" max="2308" width="6.85546875" bestFit="1" customWidth="1"/>
    <col min="2309" max="2309" width="17.28515625" bestFit="1" customWidth="1"/>
    <col min="2310" max="2310" width="27.28515625" bestFit="1" customWidth="1"/>
    <col min="2311" max="2311" width="4.7109375" bestFit="1" customWidth="1"/>
    <col min="2312" max="2312" width="7.5703125" bestFit="1" customWidth="1"/>
    <col min="2313" max="2313" width="2.140625" bestFit="1" customWidth="1"/>
    <col min="2314" max="2314" width="4.85546875" bestFit="1" customWidth="1"/>
    <col min="2315" max="2315" width="6.7109375" bestFit="1" customWidth="1"/>
    <col min="2316" max="2316" width="9.5703125" bestFit="1" customWidth="1"/>
    <col min="2317" max="2317" width="7.42578125" bestFit="1" customWidth="1"/>
    <col min="2561" max="2561" width="27" bestFit="1" customWidth="1"/>
    <col min="2562" max="2562" width="26.85546875" bestFit="1" customWidth="1"/>
    <col min="2563" max="2563" width="7.7109375" bestFit="1" customWidth="1"/>
    <col min="2564" max="2564" width="6.85546875" bestFit="1" customWidth="1"/>
    <col min="2565" max="2565" width="17.28515625" bestFit="1" customWidth="1"/>
    <col min="2566" max="2566" width="27.28515625" bestFit="1" customWidth="1"/>
    <col min="2567" max="2567" width="4.7109375" bestFit="1" customWidth="1"/>
    <col min="2568" max="2568" width="7.5703125" bestFit="1" customWidth="1"/>
    <col min="2569" max="2569" width="2.140625" bestFit="1" customWidth="1"/>
    <col min="2570" max="2570" width="4.85546875" bestFit="1" customWidth="1"/>
    <col min="2571" max="2571" width="6.7109375" bestFit="1" customWidth="1"/>
    <col min="2572" max="2572" width="9.5703125" bestFit="1" customWidth="1"/>
    <col min="2573" max="2573" width="7.42578125" bestFit="1" customWidth="1"/>
    <col min="2817" max="2817" width="27" bestFit="1" customWidth="1"/>
    <col min="2818" max="2818" width="26.85546875" bestFit="1" customWidth="1"/>
    <col min="2819" max="2819" width="7.7109375" bestFit="1" customWidth="1"/>
    <col min="2820" max="2820" width="6.85546875" bestFit="1" customWidth="1"/>
    <col min="2821" max="2821" width="17.28515625" bestFit="1" customWidth="1"/>
    <col min="2822" max="2822" width="27.28515625" bestFit="1" customWidth="1"/>
    <col min="2823" max="2823" width="4.7109375" bestFit="1" customWidth="1"/>
    <col min="2824" max="2824" width="7.5703125" bestFit="1" customWidth="1"/>
    <col min="2825" max="2825" width="2.140625" bestFit="1" customWidth="1"/>
    <col min="2826" max="2826" width="4.85546875" bestFit="1" customWidth="1"/>
    <col min="2827" max="2827" width="6.7109375" bestFit="1" customWidth="1"/>
    <col min="2828" max="2828" width="9.5703125" bestFit="1" customWidth="1"/>
    <col min="2829" max="2829" width="7.42578125" bestFit="1" customWidth="1"/>
    <col min="3073" max="3073" width="27" bestFit="1" customWidth="1"/>
    <col min="3074" max="3074" width="26.85546875" bestFit="1" customWidth="1"/>
    <col min="3075" max="3075" width="7.7109375" bestFit="1" customWidth="1"/>
    <col min="3076" max="3076" width="6.85546875" bestFit="1" customWidth="1"/>
    <col min="3077" max="3077" width="17.28515625" bestFit="1" customWidth="1"/>
    <col min="3078" max="3078" width="27.28515625" bestFit="1" customWidth="1"/>
    <col min="3079" max="3079" width="4.7109375" bestFit="1" customWidth="1"/>
    <col min="3080" max="3080" width="7.5703125" bestFit="1" customWidth="1"/>
    <col min="3081" max="3081" width="2.140625" bestFit="1" customWidth="1"/>
    <col min="3082" max="3082" width="4.85546875" bestFit="1" customWidth="1"/>
    <col min="3083" max="3083" width="6.7109375" bestFit="1" customWidth="1"/>
    <col min="3084" max="3084" width="9.5703125" bestFit="1" customWidth="1"/>
    <col min="3085" max="3085" width="7.42578125" bestFit="1" customWidth="1"/>
    <col min="3329" max="3329" width="27" bestFit="1" customWidth="1"/>
    <col min="3330" max="3330" width="26.85546875" bestFit="1" customWidth="1"/>
    <col min="3331" max="3331" width="7.7109375" bestFit="1" customWidth="1"/>
    <col min="3332" max="3332" width="6.85546875" bestFit="1" customWidth="1"/>
    <col min="3333" max="3333" width="17.28515625" bestFit="1" customWidth="1"/>
    <col min="3334" max="3334" width="27.28515625" bestFit="1" customWidth="1"/>
    <col min="3335" max="3335" width="4.7109375" bestFit="1" customWidth="1"/>
    <col min="3336" max="3336" width="7.5703125" bestFit="1" customWidth="1"/>
    <col min="3337" max="3337" width="2.140625" bestFit="1" customWidth="1"/>
    <col min="3338" max="3338" width="4.85546875" bestFit="1" customWidth="1"/>
    <col min="3339" max="3339" width="6.7109375" bestFit="1" customWidth="1"/>
    <col min="3340" max="3340" width="9.5703125" bestFit="1" customWidth="1"/>
    <col min="3341" max="3341" width="7.42578125" bestFit="1" customWidth="1"/>
    <col min="3585" max="3585" width="27" bestFit="1" customWidth="1"/>
    <col min="3586" max="3586" width="26.85546875" bestFit="1" customWidth="1"/>
    <col min="3587" max="3587" width="7.7109375" bestFit="1" customWidth="1"/>
    <col min="3588" max="3588" width="6.85546875" bestFit="1" customWidth="1"/>
    <col min="3589" max="3589" width="17.28515625" bestFit="1" customWidth="1"/>
    <col min="3590" max="3590" width="27.28515625" bestFit="1" customWidth="1"/>
    <col min="3591" max="3591" width="4.7109375" bestFit="1" customWidth="1"/>
    <col min="3592" max="3592" width="7.5703125" bestFit="1" customWidth="1"/>
    <col min="3593" max="3593" width="2.140625" bestFit="1" customWidth="1"/>
    <col min="3594" max="3594" width="4.85546875" bestFit="1" customWidth="1"/>
    <col min="3595" max="3595" width="6.7109375" bestFit="1" customWidth="1"/>
    <col min="3596" max="3596" width="9.5703125" bestFit="1" customWidth="1"/>
    <col min="3597" max="3597" width="7.42578125" bestFit="1" customWidth="1"/>
    <col min="3841" max="3841" width="27" bestFit="1" customWidth="1"/>
    <col min="3842" max="3842" width="26.85546875" bestFit="1" customWidth="1"/>
    <col min="3843" max="3843" width="7.7109375" bestFit="1" customWidth="1"/>
    <col min="3844" max="3844" width="6.85546875" bestFit="1" customWidth="1"/>
    <col min="3845" max="3845" width="17.28515625" bestFit="1" customWidth="1"/>
    <col min="3846" max="3846" width="27.28515625" bestFit="1" customWidth="1"/>
    <col min="3847" max="3847" width="4.7109375" bestFit="1" customWidth="1"/>
    <col min="3848" max="3848" width="7.5703125" bestFit="1" customWidth="1"/>
    <col min="3849" max="3849" width="2.140625" bestFit="1" customWidth="1"/>
    <col min="3850" max="3850" width="4.85546875" bestFit="1" customWidth="1"/>
    <col min="3851" max="3851" width="6.7109375" bestFit="1" customWidth="1"/>
    <col min="3852" max="3852" width="9.5703125" bestFit="1" customWidth="1"/>
    <col min="3853" max="3853" width="7.42578125" bestFit="1" customWidth="1"/>
    <col min="4097" max="4097" width="27" bestFit="1" customWidth="1"/>
    <col min="4098" max="4098" width="26.85546875" bestFit="1" customWidth="1"/>
    <col min="4099" max="4099" width="7.7109375" bestFit="1" customWidth="1"/>
    <col min="4100" max="4100" width="6.85546875" bestFit="1" customWidth="1"/>
    <col min="4101" max="4101" width="17.28515625" bestFit="1" customWidth="1"/>
    <col min="4102" max="4102" width="27.28515625" bestFit="1" customWidth="1"/>
    <col min="4103" max="4103" width="4.7109375" bestFit="1" customWidth="1"/>
    <col min="4104" max="4104" width="7.5703125" bestFit="1" customWidth="1"/>
    <col min="4105" max="4105" width="2.140625" bestFit="1" customWidth="1"/>
    <col min="4106" max="4106" width="4.85546875" bestFit="1" customWidth="1"/>
    <col min="4107" max="4107" width="6.7109375" bestFit="1" customWidth="1"/>
    <col min="4108" max="4108" width="9.5703125" bestFit="1" customWidth="1"/>
    <col min="4109" max="4109" width="7.42578125" bestFit="1" customWidth="1"/>
    <col min="4353" max="4353" width="27" bestFit="1" customWidth="1"/>
    <col min="4354" max="4354" width="26.85546875" bestFit="1" customWidth="1"/>
    <col min="4355" max="4355" width="7.7109375" bestFit="1" customWidth="1"/>
    <col min="4356" max="4356" width="6.85546875" bestFit="1" customWidth="1"/>
    <col min="4357" max="4357" width="17.28515625" bestFit="1" customWidth="1"/>
    <col min="4358" max="4358" width="27.28515625" bestFit="1" customWidth="1"/>
    <col min="4359" max="4359" width="4.7109375" bestFit="1" customWidth="1"/>
    <col min="4360" max="4360" width="7.5703125" bestFit="1" customWidth="1"/>
    <col min="4361" max="4361" width="2.140625" bestFit="1" customWidth="1"/>
    <col min="4362" max="4362" width="4.85546875" bestFit="1" customWidth="1"/>
    <col min="4363" max="4363" width="6.7109375" bestFit="1" customWidth="1"/>
    <col min="4364" max="4364" width="9.5703125" bestFit="1" customWidth="1"/>
    <col min="4365" max="4365" width="7.42578125" bestFit="1" customWidth="1"/>
    <col min="4609" max="4609" width="27" bestFit="1" customWidth="1"/>
    <col min="4610" max="4610" width="26.85546875" bestFit="1" customWidth="1"/>
    <col min="4611" max="4611" width="7.7109375" bestFit="1" customWidth="1"/>
    <col min="4612" max="4612" width="6.85546875" bestFit="1" customWidth="1"/>
    <col min="4613" max="4613" width="17.28515625" bestFit="1" customWidth="1"/>
    <col min="4614" max="4614" width="27.28515625" bestFit="1" customWidth="1"/>
    <col min="4615" max="4615" width="4.7109375" bestFit="1" customWidth="1"/>
    <col min="4616" max="4616" width="7.5703125" bestFit="1" customWidth="1"/>
    <col min="4617" max="4617" width="2.140625" bestFit="1" customWidth="1"/>
    <col min="4618" max="4618" width="4.85546875" bestFit="1" customWidth="1"/>
    <col min="4619" max="4619" width="6.7109375" bestFit="1" customWidth="1"/>
    <col min="4620" max="4620" width="9.5703125" bestFit="1" customWidth="1"/>
    <col min="4621" max="4621" width="7.42578125" bestFit="1" customWidth="1"/>
    <col min="4865" max="4865" width="27" bestFit="1" customWidth="1"/>
    <col min="4866" max="4866" width="26.85546875" bestFit="1" customWidth="1"/>
    <col min="4867" max="4867" width="7.7109375" bestFit="1" customWidth="1"/>
    <col min="4868" max="4868" width="6.85546875" bestFit="1" customWidth="1"/>
    <col min="4869" max="4869" width="17.28515625" bestFit="1" customWidth="1"/>
    <col min="4870" max="4870" width="27.28515625" bestFit="1" customWidth="1"/>
    <col min="4871" max="4871" width="4.7109375" bestFit="1" customWidth="1"/>
    <col min="4872" max="4872" width="7.5703125" bestFit="1" customWidth="1"/>
    <col min="4873" max="4873" width="2.140625" bestFit="1" customWidth="1"/>
    <col min="4874" max="4874" width="4.85546875" bestFit="1" customWidth="1"/>
    <col min="4875" max="4875" width="6.7109375" bestFit="1" customWidth="1"/>
    <col min="4876" max="4876" width="9.5703125" bestFit="1" customWidth="1"/>
    <col min="4877" max="4877" width="7.42578125" bestFit="1" customWidth="1"/>
    <col min="5121" max="5121" width="27" bestFit="1" customWidth="1"/>
    <col min="5122" max="5122" width="26.85546875" bestFit="1" customWidth="1"/>
    <col min="5123" max="5123" width="7.7109375" bestFit="1" customWidth="1"/>
    <col min="5124" max="5124" width="6.85546875" bestFit="1" customWidth="1"/>
    <col min="5125" max="5125" width="17.28515625" bestFit="1" customWidth="1"/>
    <col min="5126" max="5126" width="27.28515625" bestFit="1" customWidth="1"/>
    <col min="5127" max="5127" width="4.7109375" bestFit="1" customWidth="1"/>
    <col min="5128" max="5128" width="7.5703125" bestFit="1" customWidth="1"/>
    <col min="5129" max="5129" width="2.140625" bestFit="1" customWidth="1"/>
    <col min="5130" max="5130" width="4.85546875" bestFit="1" customWidth="1"/>
    <col min="5131" max="5131" width="6.7109375" bestFit="1" customWidth="1"/>
    <col min="5132" max="5132" width="9.5703125" bestFit="1" customWidth="1"/>
    <col min="5133" max="5133" width="7.42578125" bestFit="1" customWidth="1"/>
    <col min="5377" max="5377" width="27" bestFit="1" customWidth="1"/>
    <col min="5378" max="5378" width="26.85546875" bestFit="1" customWidth="1"/>
    <col min="5379" max="5379" width="7.7109375" bestFit="1" customWidth="1"/>
    <col min="5380" max="5380" width="6.85546875" bestFit="1" customWidth="1"/>
    <col min="5381" max="5381" width="17.28515625" bestFit="1" customWidth="1"/>
    <col min="5382" max="5382" width="27.28515625" bestFit="1" customWidth="1"/>
    <col min="5383" max="5383" width="4.7109375" bestFit="1" customWidth="1"/>
    <col min="5384" max="5384" width="7.5703125" bestFit="1" customWidth="1"/>
    <col min="5385" max="5385" width="2.140625" bestFit="1" customWidth="1"/>
    <col min="5386" max="5386" width="4.85546875" bestFit="1" customWidth="1"/>
    <col min="5387" max="5387" width="6.7109375" bestFit="1" customWidth="1"/>
    <col min="5388" max="5388" width="9.5703125" bestFit="1" customWidth="1"/>
    <col min="5389" max="5389" width="7.42578125" bestFit="1" customWidth="1"/>
    <col min="5633" max="5633" width="27" bestFit="1" customWidth="1"/>
    <col min="5634" max="5634" width="26.85546875" bestFit="1" customWidth="1"/>
    <col min="5635" max="5635" width="7.7109375" bestFit="1" customWidth="1"/>
    <col min="5636" max="5636" width="6.85546875" bestFit="1" customWidth="1"/>
    <col min="5637" max="5637" width="17.28515625" bestFit="1" customWidth="1"/>
    <col min="5638" max="5638" width="27.28515625" bestFit="1" customWidth="1"/>
    <col min="5639" max="5639" width="4.7109375" bestFit="1" customWidth="1"/>
    <col min="5640" max="5640" width="7.5703125" bestFit="1" customWidth="1"/>
    <col min="5641" max="5641" width="2.140625" bestFit="1" customWidth="1"/>
    <col min="5642" max="5642" width="4.85546875" bestFit="1" customWidth="1"/>
    <col min="5643" max="5643" width="6.7109375" bestFit="1" customWidth="1"/>
    <col min="5644" max="5644" width="9.5703125" bestFit="1" customWidth="1"/>
    <col min="5645" max="5645" width="7.42578125" bestFit="1" customWidth="1"/>
    <col min="5889" max="5889" width="27" bestFit="1" customWidth="1"/>
    <col min="5890" max="5890" width="26.85546875" bestFit="1" customWidth="1"/>
    <col min="5891" max="5891" width="7.7109375" bestFit="1" customWidth="1"/>
    <col min="5892" max="5892" width="6.85546875" bestFit="1" customWidth="1"/>
    <col min="5893" max="5893" width="17.28515625" bestFit="1" customWidth="1"/>
    <col min="5894" max="5894" width="27.28515625" bestFit="1" customWidth="1"/>
    <col min="5895" max="5895" width="4.7109375" bestFit="1" customWidth="1"/>
    <col min="5896" max="5896" width="7.5703125" bestFit="1" customWidth="1"/>
    <col min="5897" max="5897" width="2.140625" bestFit="1" customWidth="1"/>
    <col min="5898" max="5898" width="4.85546875" bestFit="1" customWidth="1"/>
    <col min="5899" max="5899" width="6.7109375" bestFit="1" customWidth="1"/>
    <col min="5900" max="5900" width="9.5703125" bestFit="1" customWidth="1"/>
    <col min="5901" max="5901" width="7.42578125" bestFit="1" customWidth="1"/>
    <col min="6145" max="6145" width="27" bestFit="1" customWidth="1"/>
    <col min="6146" max="6146" width="26.85546875" bestFit="1" customWidth="1"/>
    <col min="6147" max="6147" width="7.7109375" bestFit="1" customWidth="1"/>
    <col min="6148" max="6148" width="6.85546875" bestFit="1" customWidth="1"/>
    <col min="6149" max="6149" width="17.28515625" bestFit="1" customWidth="1"/>
    <col min="6150" max="6150" width="27.28515625" bestFit="1" customWidth="1"/>
    <col min="6151" max="6151" width="4.7109375" bestFit="1" customWidth="1"/>
    <col min="6152" max="6152" width="7.5703125" bestFit="1" customWidth="1"/>
    <col min="6153" max="6153" width="2.140625" bestFit="1" customWidth="1"/>
    <col min="6154" max="6154" width="4.85546875" bestFit="1" customWidth="1"/>
    <col min="6155" max="6155" width="6.7109375" bestFit="1" customWidth="1"/>
    <col min="6156" max="6156" width="9.5703125" bestFit="1" customWidth="1"/>
    <col min="6157" max="6157" width="7.42578125" bestFit="1" customWidth="1"/>
    <col min="6401" max="6401" width="27" bestFit="1" customWidth="1"/>
    <col min="6402" max="6402" width="26.85546875" bestFit="1" customWidth="1"/>
    <col min="6403" max="6403" width="7.7109375" bestFit="1" customWidth="1"/>
    <col min="6404" max="6404" width="6.85546875" bestFit="1" customWidth="1"/>
    <col min="6405" max="6405" width="17.28515625" bestFit="1" customWidth="1"/>
    <col min="6406" max="6406" width="27.28515625" bestFit="1" customWidth="1"/>
    <col min="6407" max="6407" width="4.7109375" bestFit="1" customWidth="1"/>
    <col min="6408" max="6408" width="7.5703125" bestFit="1" customWidth="1"/>
    <col min="6409" max="6409" width="2.140625" bestFit="1" customWidth="1"/>
    <col min="6410" max="6410" width="4.85546875" bestFit="1" customWidth="1"/>
    <col min="6411" max="6411" width="6.7109375" bestFit="1" customWidth="1"/>
    <col min="6412" max="6412" width="9.5703125" bestFit="1" customWidth="1"/>
    <col min="6413" max="6413" width="7.42578125" bestFit="1" customWidth="1"/>
    <col min="6657" max="6657" width="27" bestFit="1" customWidth="1"/>
    <col min="6658" max="6658" width="26.85546875" bestFit="1" customWidth="1"/>
    <col min="6659" max="6659" width="7.7109375" bestFit="1" customWidth="1"/>
    <col min="6660" max="6660" width="6.85546875" bestFit="1" customWidth="1"/>
    <col min="6661" max="6661" width="17.28515625" bestFit="1" customWidth="1"/>
    <col min="6662" max="6662" width="27.28515625" bestFit="1" customWidth="1"/>
    <col min="6663" max="6663" width="4.7109375" bestFit="1" customWidth="1"/>
    <col min="6664" max="6664" width="7.5703125" bestFit="1" customWidth="1"/>
    <col min="6665" max="6665" width="2.140625" bestFit="1" customWidth="1"/>
    <col min="6666" max="6666" width="4.85546875" bestFit="1" customWidth="1"/>
    <col min="6667" max="6667" width="6.7109375" bestFit="1" customWidth="1"/>
    <col min="6668" max="6668" width="9.5703125" bestFit="1" customWidth="1"/>
    <col min="6669" max="6669" width="7.42578125" bestFit="1" customWidth="1"/>
    <col min="6913" max="6913" width="27" bestFit="1" customWidth="1"/>
    <col min="6914" max="6914" width="26.85546875" bestFit="1" customWidth="1"/>
    <col min="6915" max="6915" width="7.7109375" bestFit="1" customWidth="1"/>
    <col min="6916" max="6916" width="6.85546875" bestFit="1" customWidth="1"/>
    <col min="6917" max="6917" width="17.28515625" bestFit="1" customWidth="1"/>
    <col min="6918" max="6918" width="27.28515625" bestFit="1" customWidth="1"/>
    <col min="6919" max="6919" width="4.7109375" bestFit="1" customWidth="1"/>
    <col min="6920" max="6920" width="7.5703125" bestFit="1" customWidth="1"/>
    <col min="6921" max="6921" width="2.140625" bestFit="1" customWidth="1"/>
    <col min="6922" max="6922" width="4.85546875" bestFit="1" customWidth="1"/>
    <col min="6923" max="6923" width="6.7109375" bestFit="1" customWidth="1"/>
    <col min="6924" max="6924" width="9.5703125" bestFit="1" customWidth="1"/>
    <col min="6925" max="6925" width="7.42578125" bestFit="1" customWidth="1"/>
    <col min="7169" max="7169" width="27" bestFit="1" customWidth="1"/>
    <col min="7170" max="7170" width="26.85546875" bestFit="1" customWidth="1"/>
    <col min="7171" max="7171" width="7.7109375" bestFit="1" customWidth="1"/>
    <col min="7172" max="7172" width="6.85546875" bestFit="1" customWidth="1"/>
    <col min="7173" max="7173" width="17.28515625" bestFit="1" customWidth="1"/>
    <col min="7174" max="7174" width="27.28515625" bestFit="1" customWidth="1"/>
    <col min="7175" max="7175" width="4.7109375" bestFit="1" customWidth="1"/>
    <col min="7176" max="7176" width="7.5703125" bestFit="1" customWidth="1"/>
    <col min="7177" max="7177" width="2.140625" bestFit="1" customWidth="1"/>
    <col min="7178" max="7178" width="4.85546875" bestFit="1" customWidth="1"/>
    <col min="7179" max="7179" width="6.7109375" bestFit="1" customWidth="1"/>
    <col min="7180" max="7180" width="9.5703125" bestFit="1" customWidth="1"/>
    <col min="7181" max="7181" width="7.42578125" bestFit="1" customWidth="1"/>
    <col min="7425" max="7425" width="27" bestFit="1" customWidth="1"/>
    <col min="7426" max="7426" width="26.85546875" bestFit="1" customWidth="1"/>
    <col min="7427" max="7427" width="7.7109375" bestFit="1" customWidth="1"/>
    <col min="7428" max="7428" width="6.85546875" bestFit="1" customWidth="1"/>
    <col min="7429" max="7429" width="17.28515625" bestFit="1" customWidth="1"/>
    <col min="7430" max="7430" width="27.28515625" bestFit="1" customWidth="1"/>
    <col min="7431" max="7431" width="4.7109375" bestFit="1" customWidth="1"/>
    <col min="7432" max="7432" width="7.5703125" bestFit="1" customWidth="1"/>
    <col min="7433" max="7433" width="2.140625" bestFit="1" customWidth="1"/>
    <col min="7434" max="7434" width="4.85546875" bestFit="1" customWidth="1"/>
    <col min="7435" max="7435" width="6.7109375" bestFit="1" customWidth="1"/>
    <col min="7436" max="7436" width="9.5703125" bestFit="1" customWidth="1"/>
    <col min="7437" max="7437" width="7.42578125" bestFit="1" customWidth="1"/>
    <col min="7681" max="7681" width="27" bestFit="1" customWidth="1"/>
    <col min="7682" max="7682" width="26.85546875" bestFit="1" customWidth="1"/>
    <col min="7683" max="7683" width="7.7109375" bestFit="1" customWidth="1"/>
    <col min="7684" max="7684" width="6.85546875" bestFit="1" customWidth="1"/>
    <col min="7685" max="7685" width="17.28515625" bestFit="1" customWidth="1"/>
    <col min="7686" max="7686" width="27.28515625" bestFit="1" customWidth="1"/>
    <col min="7687" max="7687" width="4.7109375" bestFit="1" customWidth="1"/>
    <col min="7688" max="7688" width="7.5703125" bestFit="1" customWidth="1"/>
    <col min="7689" max="7689" width="2.140625" bestFit="1" customWidth="1"/>
    <col min="7690" max="7690" width="4.85546875" bestFit="1" customWidth="1"/>
    <col min="7691" max="7691" width="6.7109375" bestFit="1" customWidth="1"/>
    <col min="7692" max="7692" width="9.5703125" bestFit="1" customWidth="1"/>
    <col min="7693" max="7693" width="7.42578125" bestFit="1" customWidth="1"/>
    <col min="7937" max="7937" width="27" bestFit="1" customWidth="1"/>
    <col min="7938" max="7938" width="26.85546875" bestFit="1" customWidth="1"/>
    <col min="7939" max="7939" width="7.7109375" bestFit="1" customWidth="1"/>
    <col min="7940" max="7940" width="6.85546875" bestFit="1" customWidth="1"/>
    <col min="7941" max="7941" width="17.28515625" bestFit="1" customWidth="1"/>
    <col min="7942" max="7942" width="27.28515625" bestFit="1" customWidth="1"/>
    <col min="7943" max="7943" width="4.7109375" bestFit="1" customWidth="1"/>
    <col min="7944" max="7944" width="7.5703125" bestFit="1" customWidth="1"/>
    <col min="7945" max="7945" width="2.140625" bestFit="1" customWidth="1"/>
    <col min="7946" max="7946" width="4.85546875" bestFit="1" customWidth="1"/>
    <col min="7947" max="7947" width="6.7109375" bestFit="1" customWidth="1"/>
    <col min="7948" max="7948" width="9.5703125" bestFit="1" customWidth="1"/>
    <col min="7949" max="7949" width="7.42578125" bestFit="1" customWidth="1"/>
    <col min="8193" max="8193" width="27" bestFit="1" customWidth="1"/>
    <col min="8194" max="8194" width="26.85546875" bestFit="1" customWidth="1"/>
    <col min="8195" max="8195" width="7.7109375" bestFit="1" customWidth="1"/>
    <col min="8196" max="8196" width="6.85546875" bestFit="1" customWidth="1"/>
    <col min="8197" max="8197" width="17.28515625" bestFit="1" customWidth="1"/>
    <col min="8198" max="8198" width="27.28515625" bestFit="1" customWidth="1"/>
    <col min="8199" max="8199" width="4.7109375" bestFit="1" customWidth="1"/>
    <col min="8200" max="8200" width="7.5703125" bestFit="1" customWidth="1"/>
    <col min="8201" max="8201" width="2.140625" bestFit="1" customWidth="1"/>
    <col min="8202" max="8202" width="4.85546875" bestFit="1" customWidth="1"/>
    <col min="8203" max="8203" width="6.7109375" bestFit="1" customWidth="1"/>
    <col min="8204" max="8204" width="9.5703125" bestFit="1" customWidth="1"/>
    <col min="8205" max="8205" width="7.42578125" bestFit="1" customWidth="1"/>
    <col min="8449" max="8449" width="27" bestFit="1" customWidth="1"/>
    <col min="8450" max="8450" width="26.85546875" bestFit="1" customWidth="1"/>
    <col min="8451" max="8451" width="7.7109375" bestFit="1" customWidth="1"/>
    <col min="8452" max="8452" width="6.85546875" bestFit="1" customWidth="1"/>
    <col min="8453" max="8453" width="17.28515625" bestFit="1" customWidth="1"/>
    <col min="8454" max="8454" width="27.28515625" bestFit="1" customWidth="1"/>
    <col min="8455" max="8455" width="4.7109375" bestFit="1" customWidth="1"/>
    <col min="8456" max="8456" width="7.5703125" bestFit="1" customWidth="1"/>
    <col min="8457" max="8457" width="2.140625" bestFit="1" customWidth="1"/>
    <col min="8458" max="8458" width="4.85546875" bestFit="1" customWidth="1"/>
    <col min="8459" max="8459" width="6.7109375" bestFit="1" customWidth="1"/>
    <col min="8460" max="8460" width="9.5703125" bestFit="1" customWidth="1"/>
    <col min="8461" max="8461" width="7.42578125" bestFit="1" customWidth="1"/>
    <col min="8705" max="8705" width="27" bestFit="1" customWidth="1"/>
    <col min="8706" max="8706" width="26.85546875" bestFit="1" customWidth="1"/>
    <col min="8707" max="8707" width="7.7109375" bestFit="1" customWidth="1"/>
    <col min="8708" max="8708" width="6.85546875" bestFit="1" customWidth="1"/>
    <col min="8709" max="8709" width="17.28515625" bestFit="1" customWidth="1"/>
    <col min="8710" max="8710" width="27.28515625" bestFit="1" customWidth="1"/>
    <col min="8711" max="8711" width="4.7109375" bestFit="1" customWidth="1"/>
    <col min="8712" max="8712" width="7.5703125" bestFit="1" customWidth="1"/>
    <col min="8713" max="8713" width="2.140625" bestFit="1" customWidth="1"/>
    <col min="8714" max="8714" width="4.85546875" bestFit="1" customWidth="1"/>
    <col min="8715" max="8715" width="6.7109375" bestFit="1" customWidth="1"/>
    <col min="8716" max="8716" width="9.5703125" bestFit="1" customWidth="1"/>
    <col min="8717" max="8717" width="7.42578125" bestFit="1" customWidth="1"/>
    <col min="8961" max="8961" width="27" bestFit="1" customWidth="1"/>
    <col min="8962" max="8962" width="26.85546875" bestFit="1" customWidth="1"/>
    <col min="8963" max="8963" width="7.7109375" bestFit="1" customWidth="1"/>
    <col min="8964" max="8964" width="6.85546875" bestFit="1" customWidth="1"/>
    <col min="8965" max="8965" width="17.28515625" bestFit="1" customWidth="1"/>
    <col min="8966" max="8966" width="27.28515625" bestFit="1" customWidth="1"/>
    <col min="8967" max="8967" width="4.7109375" bestFit="1" customWidth="1"/>
    <col min="8968" max="8968" width="7.5703125" bestFit="1" customWidth="1"/>
    <col min="8969" max="8969" width="2.140625" bestFit="1" customWidth="1"/>
    <col min="8970" max="8970" width="4.85546875" bestFit="1" customWidth="1"/>
    <col min="8971" max="8971" width="6.7109375" bestFit="1" customWidth="1"/>
    <col min="8972" max="8972" width="9.5703125" bestFit="1" customWidth="1"/>
    <col min="8973" max="8973" width="7.42578125" bestFit="1" customWidth="1"/>
    <col min="9217" max="9217" width="27" bestFit="1" customWidth="1"/>
    <col min="9218" max="9218" width="26.85546875" bestFit="1" customWidth="1"/>
    <col min="9219" max="9219" width="7.7109375" bestFit="1" customWidth="1"/>
    <col min="9220" max="9220" width="6.85546875" bestFit="1" customWidth="1"/>
    <col min="9221" max="9221" width="17.28515625" bestFit="1" customWidth="1"/>
    <col min="9222" max="9222" width="27.28515625" bestFit="1" customWidth="1"/>
    <col min="9223" max="9223" width="4.7109375" bestFit="1" customWidth="1"/>
    <col min="9224" max="9224" width="7.5703125" bestFit="1" customWidth="1"/>
    <col min="9225" max="9225" width="2.140625" bestFit="1" customWidth="1"/>
    <col min="9226" max="9226" width="4.85546875" bestFit="1" customWidth="1"/>
    <col min="9227" max="9227" width="6.7109375" bestFit="1" customWidth="1"/>
    <col min="9228" max="9228" width="9.5703125" bestFit="1" customWidth="1"/>
    <col min="9229" max="9229" width="7.42578125" bestFit="1" customWidth="1"/>
    <col min="9473" max="9473" width="27" bestFit="1" customWidth="1"/>
    <col min="9474" max="9474" width="26.85546875" bestFit="1" customWidth="1"/>
    <col min="9475" max="9475" width="7.7109375" bestFit="1" customWidth="1"/>
    <col min="9476" max="9476" width="6.85546875" bestFit="1" customWidth="1"/>
    <col min="9477" max="9477" width="17.28515625" bestFit="1" customWidth="1"/>
    <col min="9478" max="9478" width="27.28515625" bestFit="1" customWidth="1"/>
    <col min="9479" max="9479" width="4.7109375" bestFit="1" customWidth="1"/>
    <col min="9480" max="9480" width="7.5703125" bestFit="1" customWidth="1"/>
    <col min="9481" max="9481" width="2.140625" bestFit="1" customWidth="1"/>
    <col min="9482" max="9482" width="4.85546875" bestFit="1" customWidth="1"/>
    <col min="9483" max="9483" width="6.7109375" bestFit="1" customWidth="1"/>
    <col min="9484" max="9484" width="9.5703125" bestFit="1" customWidth="1"/>
    <col min="9485" max="9485" width="7.42578125" bestFit="1" customWidth="1"/>
    <col min="9729" max="9729" width="27" bestFit="1" customWidth="1"/>
    <col min="9730" max="9730" width="26.85546875" bestFit="1" customWidth="1"/>
    <col min="9731" max="9731" width="7.7109375" bestFit="1" customWidth="1"/>
    <col min="9732" max="9732" width="6.85546875" bestFit="1" customWidth="1"/>
    <col min="9733" max="9733" width="17.28515625" bestFit="1" customWidth="1"/>
    <col min="9734" max="9734" width="27.28515625" bestFit="1" customWidth="1"/>
    <col min="9735" max="9735" width="4.7109375" bestFit="1" customWidth="1"/>
    <col min="9736" max="9736" width="7.5703125" bestFit="1" customWidth="1"/>
    <col min="9737" max="9737" width="2.140625" bestFit="1" customWidth="1"/>
    <col min="9738" max="9738" width="4.85546875" bestFit="1" customWidth="1"/>
    <col min="9739" max="9739" width="6.7109375" bestFit="1" customWidth="1"/>
    <col min="9740" max="9740" width="9.5703125" bestFit="1" customWidth="1"/>
    <col min="9741" max="9741" width="7.42578125" bestFit="1" customWidth="1"/>
    <col min="9985" max="9985" width="27" bestFit="1" customWidth="1"/>
    <col min="9986" max="9986" width="26.85546875" bestFit="1" customWidth="1"/>
    <col min="9987" max="9987" width="7.7109375" bestFit="1" customWidth="1"/>
    <col min="9988" max="9988" width="6.85546875" bestFit="1" customWidth="1"/>
    <col min="9989" max="9989" width="17.28515625" bestFit="1" customWidth="1"/>
    <col min="9990" max="9990" width="27.28515625" bestFit="1" customWidth="1"/>
    <col min="9991" max="9991" width="4.7109375" bestFit="1" customWidth="1"/>
    <col min="9992" max="9992" width="7.5703125" bestFit="1" customWidth="1"/>
    <col min="9993" max="9993" width="2.140625" bestFit="1" customWidth="1"/>
    <col min="9994" max="9994" width="4.85546875" bestFit="1" customWidth="1"/>
    <col min="9995" max="9995" width="6.7109375" bestFit="1" customWidth="1"/>
    <col min="9996" max="9996" width="9.5703125" bestFit="1" customWidth="1"/>
    <col min="9997" max="9997" width="7.42578125" bestFit="1" customWidth="1"/>
    <col min="10241" max="10241" width="27" bestFit="1" customWidth="1"/>
    <col min="10242" max="10242" width="26.85546875" bestFit="1" customWidth="1"/>
    <col min="10243" max="10243" width="7.7109375" bestFit="1" customWidth="1"/>
    <col min="10244" max="10244" width="6.85546875" bestFit="1" customWidth="1"/>
    <col min="10245" max="10245" width="17.28515625" bestFit="1" customWidth="1"/>
    <col min="10246" max="10246" width="27.28515625" bestFit="1" customWidth="1"/>
    <col min="10247" max="10247" width="4.7109375" bestFit="1" customWidth="1"/>
    <col min="10248" max="10248" width="7.5703125" bestFit="1" customWidth="1"/>
    <col min="10249" max="10249" width="2.140625" bestFit="1" customWidth="1"/>
    <col min="10250" max="10250" width="4.85546875" bestFit="1" customWidth="1"/>
    <col min="10251" max="10251" width="6.7109375" bestFit="1" customWidth="1"/>
    <col min="10252" max="10252" width="9.5703125" bestFit="1" customWidth="1"/>
    <col min="10253" max="10253" width="7.42578125" bestFit="1" customWidth="1"/>
    <col min="10497" max="10497" width="27" bestFit="1" customWidth="1"/>
    <col min="10498" max="10498" width="26.85546875" bestFit="1" customWidth="1"/>
    <col min="10499" max="10499" width="7.7109375" bestFit="1" customWidth="1"/>
    <col min="10500" max="10500" width="6.85546875" bestFit="1" customWidth="1"/>
    <col min="10501" max="10501" width="17.28515625" bestFit="1" customWidth="1"/>
    <col min="10502" max="10502" width="27.28515625" bestFit="1" customWidth="1"/>
    <col min="10503" max="10503" width="4.7109375" bestFit="1" customWidth="1"/>
    <col min="10504" max="10504" width="7.5703125" bestFit="1" customWidth="1"/>
    <col min="10505" max="10505" width="2.140625" bestFit="1" customWidth="1"/>
    <col min="10506" max="10506" width="4.85546875" bestFit="1" customWidth="1"/>
    <col min="10507" max="10507" width="6.7109375" bestFit="1" customWidth="1"/>
    <col min="10508" max="10508" width="9.5703125" bestFit="1" customWidth="1"/>
    <col min="10509" max="10509" width="7.42578125" bestFit="1" customWidth="1"/>
    <col min="10753" max="10753" width="27" bestFit="1" customWidth="1"/>
    <col min="10754" max="10754" width="26.85546875" bestFit="1" customWidth="1"/>
    <col min="10755" max="10755" width="7.7109375" bestFit="1" customWidth="1"/>
    <col min="10756" max="10756" width="6.85546875" bestFit="1" customWidth="1"/>
    <col min="10757" max="10757" width="17.28515625" bestFit="1" customWidth="1"/>
    <col min="10758" max="10758" width="27.28515625" bestFit="1" customWidth="1"/>
    <col min="10759" max="10759" width="4.7109375" bestFit="1" customWidth="1"/>
    <col min="10760" max="10760" width="7.5703125" bestFit="1" customWidth="1"/>
    <col min="10761" max="10761" width="2.140625" bestFit="1" customWidth="1"/>
    <col min="10762" max="10762" width="4.85546875" bestFit="1" customWidth="1"/>
    <col min="10763" max="10763" width="6.7109375" bestFit="1" customWidth="1"/>
    <col min="10764" max="10764" width="9.5703125" bestFit="1" customWidth="1"/>
    <col min="10765" max="10765" width="7.42578125" bestFit="1" customWidth="1"/>
    <col min="11009" max="11009" width="27" bestFit="1" customWidth="1"/>
    <col min="11010" max="11010" width="26.85546875" bestFit="1" customWidth="1"/>
    <col min="11011" max="11011" width="7.7109375" bestFit="1" customWidth="1"/>
    <col min="11012" max="11012" width="6.85546875" bestFit="1" customWidth="1"/>
    <col min="11013" max="11013" width="17.28515625" bestFit="1" customWidth="1"/>
    <col min="11014" max="11014" width="27.28515625" bestFit="1" customWidth="1"/>
    <col min="11015" max="11015" width="4.7109375" bestFit="1" customWidth="1"/>
    <col min="11016" max="11016" width="7.5703125" bestFit="1" customWidth="1"/>
    <col min="11017" max="11017" width="2.140625" bestFit="1" customWidth="1"/>
    <col min="11018" max="11018" width="4.85546875" bestFit="1" customWidth="1"/>
    <col min="11019" max="11019" width="6.7109375" bestFit="1" customWidth="1"/>
    <col min="11020" max="11020" width="9.5703125" bestFit="1" customWidth="1"/>
    <col min="11021" max="11021" width="7.42578125" bestFit="1" customWidth="1"/>
    <col min="11265" max="11265" width="27" bestFit="1" customWidth="1"/>
    <col min="11266" max="11266" width="26.85546875" bestFit="1" customWidth="1"/>
    <col min="11267" max="11267" width="7.7109375" bestFit="1" customWidth="1"/>
    <col min="11268" max="11268" width="6.85546875" bestFit="1" customWidth="1"/>
    <col min="11269" max="11269" width="17.28515625" bestFit="1" customWidth="1"/>
    <col min="11270" max="11270" width="27.28515625" bestFit="1" customWidth="1"/>
    <col min="11271" max="11271" width="4.7109375" bestFit="1" customWidth="1"/>
    <col min="11272" max="11272" width="7.5703125" bestFit="1" customWidth="1"/>
    <col min="11273" max="11273" width="2.140625" bestFit="1" customWidth="1"/>
    <col min="11274" max="11274" width="4.85546875" bestFit="1" customWidth="1"/>
    <col min="11275" max="11275" width="6.7109375" bestFit="1" customWidth="1"/>
    <col min="11276" max="11276" width="9.5703125" bestFit="1" customWidth="1"/>
    <col min="11277" max="11277" width="7.42578125" bestFit="1" customWidth="1"/>
    <col min="11521" max="11521" width="27" bestFit="1" customWidth="1"/>
    <col min="11522" max="11522" width="26.85546875" bestFit="1" customWidth="1"/>
    <col min="11523" max="11523" width="7.7109375" bestFit="1" customWidth="1"/>
    <col min="11524" max="11524" width="6.85546875" bestFit="1" customWidth="1"/>
    <col min="11525" max="11525" width="17.28515625" bestFit="1" customWidth="1"/>
    <col min="11526" max="11526" width="27.28515625" bestFit="1" customWidth="1"/>
    <col min="11527" max="11527" width="4.7109375" bestFit="1" customWidth="1"/>
    <col min="11528" max="11528" width="7.5703125" bestFit="1" customWidth="1"/>
    <col min="11529" max="11529" width="2.140625" bestFit="1" customWidth="1"/>
    <col min="11530" max="11530" width="4.85546875" bestFit="1" customWidth="1"/>
    <col min="11531" max="11531" width="6.7109375" bestFit="1" customWidth="1"/>
    <col min="11532" max="11532" width="9.5703125" bestFit="1" customWidth="1"/>
    <col min="11533" max="11533" width="7.42578125" bestFit="1" customWidth="1"/>
    <col min="11777" max="11777" width="27" bestFit="1" customWidth="1"/>
    <col min="11778" max="11778" width="26.85546875" bestFit="1" customWidth="1"/>
    <col min="11779" max="11779" width="7.7109375" bestFit="1" customWidth="1"/>
    <col min="11780" max="11780" width="6.85546875" bestFit="1" customWidth="1"/>
    <col min="11781" max="11781" width="17.28515625" bestFit="1" customWidth="1"/>
    <col min="11782" max="11782" width="27.28515625" bestFit="1" customWidth="1"/>
    <col min="11783" max="11783" width="4.7109375" bestFit="1" customWidth="1"/>
    <col min="11784" max="11784" width="7.5703125" bestFit="1" customWidth="1"/>
    <col min="11785" max="11785" width="2.140625" bestFit="1" customWidth="1"/>
    <col min="11786" max="11786" width="4.85546875" bestFit="1" customWidth="1"/>
    <col min="11787" max="11787" width="6.7109375" bestFit="1" customWidth="1"/>
    <col min="11788" max="11788" width="9.5703125" bestFit="1" customWidth="1"/>
    <col min="11789" max="11789" width="7.42578125" bestFit="1" customWidth="1"/>
    <col min="12033" max="12033" width="27" bestFit="1" customWidth="1"/>
    <col min="12034" max="12034" width="26.85546875" bestFit="1" customWidth="1"/>
    <col min="12035" max="12035" width="7.7109375" bestFit="1" customWidth="1"/>
    <col min="12036" max="12036" width="6.85546875" bestFit="1" customWidth="1"/>
    <col min="12037" max="12037" width="17.28515625" bestFit="1" customWidth="1"/>
    <col min="12038" max="12038" width="27.28515625" bestFit="1" customWidth="1"/>
    <col min="12039" max="12039" width="4.7109375" bestFit="1" customWidth="1"/>
    <col min="12040" max="12040" width="7.5703125" bestFit="1" customWidth="1"/>
    <col min="12041" max="12041" width="2.140625" bestFit="1" customWidth="1"/>
    <col min="12042" max="12042" width="4.85546875" bestFit="1" customWidth="1"/>
    <col min="12043" max="12043" width="6.7109375" bestFit="1" customWidth="1"/>
    <col min="12044" max="12044" width="9.5703125" bestFit="1" customWidth="1"/>
    <col min="12045" max="12045" width="7.42578125" bestFit="1" customWidth="1"/>
    <col min="12289" max="12289" width="27" bestFit="1" customWidth="1"/>
    <col min="12290" max="12290" width="26.85546875" bestFit="1" customWidth="1"/>
    <col min="12291" max="12291" width="7.7109375" bestFit="1" customWidth="1"/>
    <col min="12292" max="12292" width="6.85546875" bestFit="1" customWidth="1"/>
    <col min="12293" max="12293" width="17.28515625" bestFit="1" customWidth="1"/>
    <col min="12294" max="12294" width="27.28515625" bestFit="1" customWidth="1"/>
    <col min="12295" max="12295" width="4.7109375" bestFit="1" customWidth="1"/>
    <col min="12296" max="12296" width="7.5703125" bestFit="1" customWidth="1"/>
    <col min="12297" max="12297" width="2.140625" bestFit="1" customWidth="1"/>
    <col min="12298" max="12298" width="4.85546875" bestFit="1" customWidth="1"/>
    <col min="12299" max="12299" width="6.7109375" bestFit="1" customWidth="1"/>
    <col min="12300" max="12300" width="9.5703125" bestFit="1" customWidth="1"/>
    <col min="12301" max="12301" width="7.42578125" bestFit="1" customWidth="1"/>
    <col min="12545" max="12545" width="27" bestFit="1" customWidth="1"/>
    <col min="12546" max="12546" width="26.85546875" bestFit="1" customWidth="1"/>
    <col min="12547" max="12547" width="7.7109375" bestFit="1" customWidth="1"/>
    <col min="12548" max="12548" width="6.85546875" bestFit="1" customWidth="1"/>
    <col min="12549" max="12549" width="17.28515625" bestFit="1" customWidth="1"/>
    <col min="12550" max="12550" width="27.28515625" bestFit="1" customWidth="1"/>
    <col min="12551" max="12551" width="4.7109375" bestFit="1" customWidth="1"/>
    <col min="12552" max="12552" width="7.5703125" bestFit="1" customWidth="1"/>
    <col min="12553" max="12553" width="2.140625" bestFit="1" customWidth="1"/>
    <col min="12554" max="12554" width="4.85546875" bestFit="1" customWidth="1"/>
    <col min="12555" max="12555" width="6.7109375" bestFit="1" customWidth="1"/>
    <col min="12556" max="12556" width="9.5703125" bestFit="1" customWidth="1"/>
    <col min="12557" max="12557" width="7.42578125" bestFit="1" customWidth="1"/>
    <col min="12801" max="12801" width="27" bestFit="1" customWidth="1"/>
    <col min="12802" max="12802" width="26.85546875" bestFit="1" customWidth="1"/>
    <col min="12803" max="12803" width="7.7109375" bestFit="1" customWidth="1"/>
    <col min="12804" max="12804" width="6.85546875" bestFit="1" customWidth="1"/>
    <col min="12805" max="12805" width="17.28515625" bestFit="1" customWidth="1"/>
    <col min="12806" max="12806" width="27.28515625" bestFit="1" customWidth="1"/>
    <col min="12807" max="12807" width="4.7109375" bestFit="1" customWidth="1"/>
    <col min="12808" max="12808" width="7.5703125" bestFit="1" customWidth="1"/>
    <col min="12809" max="12809" width="2.140625" bestFit="1" customWidth="1"/>
    <col min="12810" max="12810" width="4.85546875" bestFit="1" customWidth="1"/>
    <col min="12811" max="12811" width="6.7109375" bestFit="1" customWidth="1"/>
    <col min="12812" max="12812" width="9.5703125" bestFit="1" customWidth="1"/>
    <col min="12813" max="12813" width="7.42578125" bestFit="1" customWidth="1"/>
    <col min="13057" max="13057" width="27" bestFit="1" customWidth="1"/>
    <col min="13058" max="13058" width="26.85546875" bestFit="1" customWidth="1"/>
    <col min="13059" max="13059" width="7.7109375" bestFit="1" customWidth="1"/>
    <col min="13060" max="13060" width="6.85546875" bestFit="1" customWidth="1"/>
    <col min="13061" max="13061" width="17.28515625" bestFit="1" customWidth="1"/>
    <col min="13062" max="13062" width="27.28515625" bestFit="1" customWidth="1"/>
    <col min="13063" max="13063" width="4.7109375" bestFit="1" customWidth="1"/>
    <col min="13064" max="13064" width="7.5703125" bestFit="1" customWidth="1"/>
    <col min="13065" max="13065" width="2.140625" bestFit="1" customWidth="1"/>
    <col min="13066" max="13066" width="4.85546875" bestFit="1" customWidth="1"/>
    <col min="13067" max="13067" width="6.7109375" bestFit="1" customWidth="1"/>
    <col min="13068" max="13068" width="9.5703125" bestFit="1" customWidth="1"/>
    <col min="13069" max="13069" width="7.42578125" bestFit="1" customWidth="1"/>
    <col min="13313" max="13313" width="27" bestFit="1" customWidth="1"/>
    <col min="13314" max="13314" width="26.85546875" bestFit="1" customWidth="1"/>
    <col min="13315" max="13315" width="7.7109375" bestFit="1" customWidth="1"/>
    <col min="13316" max="13316" width="6.85546875" bestFit="1" customWidth="1"/>
    <col min="13317" max="13317" width="17.28515625" bestFit="1" customWidth="1"/>
    <col min="13318" max="13318" width="27.28515625" bestFit="1" customWidth="1"/>
    <col min="13319" max="13319" width="4.7109375" bestFit="1" customWidth="1"/>
    <col min="13320" max="13320" width="7.5703125" bestFit="1" customWidth="1"/>
    <col min="13321" max="13321" width="2.140625" bestFit="1" customWidth="1"/>
    <col min="13322" max="13322" width="4.85546875" bestFit="1" customWidth="1"/>
    <col min="13323" max="13323" width="6.7109375" bestFit="1" customWidth="1"/>
    <col min="13324" max="13324" width="9.5703125" bestFit="1" customWidth="1"/>
    <col min="13325" max="13325" width="7.42578125" bestFit="1" customWidth="1"/>
    <col min="13569" max="13569" width="27" bestFit="1" customWidth="1"/>
    <col min="13570" max="13570" width="26.85546875" bestFit="1" customWidth="1"/>
    <col min="13571" max="13571" width="7.7109375" bestFit="1" customWidth="1"/>
    <col min="13572" max="13572" width="6.85546875" bestFit="1" customWidth="1"/>
    <col min="13573" max="13573" width="17.28515625" bestFit="1" customWidth="1"/>
    <col min="13574" max="13574" width="27.28515625" bestFit="1" customWidth="1"/>
    <col min="13575" max="13575" width="4.7109375" bestFit="1" customWidth="1"/>
    <col min="13576" max="13576" width="7.5703125" bestFit="1" customWidth="1"/>
    <col min="13577" max="13577" width="2.140625" bestFit="1" customWidth="1"/>
    <col min="13578" max="13578" width="4.85546875" bestFit="1" customWidth="1"/>
    <col min="13579" max="13579" width="6.7109375" bestFit="1" customWidth="1"/>
    <col min="13580" max="13580" width="9.5703125" bestFit="1" customWidth="1"/>
    <col min="13581" max="13581" width="7.42578125" bestFit="1" customWidth="1"/>
    <col min="13825" max="13825" width="27" bestFit="1" customWidth="1"/>
    <col min="13826" max="13826" width="26.85546875" bestFit="1" customWidth="1"/>
    <col min="13827" max="13827" width="7.7109375" bestFit="1" customWidth="1"/>
    <col min="13828" max="13828" width="6.85546875" bestFit="1" customWidth="1"/>
    <col min="13829" max="13829" width="17.28515625" bestFit="1" customWidth="1"/>
    <col min="13830" max="13830" width="27.28515625" bestFit="1" customWidth="1"/>
    <col min="13831" max="13831" width="4.7109375" bestFit="1" customWidth="1"/>
    <col min="13832" max="13832" width="7.5703125" bestFit="1" customWidth="1"/>
    <col min="13833" max="13833" width="2.140625" bestFit="1" customWidth="1"/>
    <col min="13834" max="13834" width="4.85546875" bestFit="1" customWidth="1"/>
    <col min="13835" max="13835" width="6.7109375" bestFit="1" customWidth="1"/>
    <col min="13836" max="13836" width="9.5703125" bestFit="1" customWidth="1"/>
    <col min="13837" max="13837" width="7.42578125" bestFit="1" customWidth="1"/>
    <col min="14081" max="14081" width="27" bestFit="1" customWidth="1"/>
    <col min="14082" max="14082" width="26.85546875" bestFit="1" customWidth="1"/>
    <col min="14083" max="14083" width="7.7109375" bestFit="1" customWidth="1"/>
    <col min="14084" max="14084" width="6.85546875" bestFit="1" customWidth="1"/>
    <col min="14085" max="14085" width="17.28515625" bestFit="1" customWidth="1"/>
    <col min="14086" max="14086" width="27.28515625" bestFit="1" customWidth="1"/>
    <col min="14087" max="14087" width="4.7109375" bestFit="1" customWidth="1"/>
    <col min="14088" max="14088" width="7.5703125" bestFit="1" customWidth="1"/>
    <col min="14089" max="14089" width="2.140625" bestFit="1" customWidth="1"/>
    <col min="14090" max="14090" width="4.85546875" bestFit="1" customWidth="1"/>
    <col min="14091" max="14091" width="6.7109375" bestFit="1" customWidth="1"/>
    <col min="14092" max="14092" width="9.5703125" bestFit="1" customWidth="1"/>
    <col min="14093" max="14093" width="7.42578125" bestFit="1" customWidth="1"/>
    <col min="14337" max="14337" width="27" bestFit="1" customWidth="1"/>
    <col min="14338" max="14338" width="26.85546875" bestFit="1" customWidth="1"/>
    <col min="14339" max="14339" width="7.7109375" bestFit="1" customWidth="1"/>
    <col min="14340" max="14340" width="6.85546875" bestFit="1" customWidth="1"/>
    <col min="14341" max="14341" width="17.28515625" bestFit="1" customWidth="1"/>
    <col min="14342" max="14342" width="27.28515625" bestFit="1" customWidth="1"/>
    <col min="14343" max="14343" width="4.7109375" bestFit="1" customWidth="1"/>
    <col min="14344" max="14344" width="7.5703125" bestFit="1" customWidth="1"/>
    <col min="14345" max="14345" width="2.140625" bestFit="1" customWidth="1"/>
    <col min="14346" max="14346" width="4.85546875" bestFit="1" customWidth="1"/>
    <col min="14347" max="14347" width="6.7109375" bestFit="1" customWidth="1"/>
    <col min="14348" max="14348" width="9.5703125" bestFit="1" customWidth="1"/>
    <col min="14349" max="14349" width="7.42578125" bestFit="1" customWidth="1"/>
    <col min="14593" max="14593" width="27" bestFit="1" customWidth="1"/>
    <col min="14594" max="14594" width="26.85546875" bestFit="1" customWidth="1"/>
    <col min="14595" max="14595" width="7.7109375" bestFit="1" customWidth="1"/>
    <col min="14596" max="14596" width="6.85546875" bestFit="1" customWidth="1"/>
    <col min="14597" max="14597" width="17.28515625" bestFit="1" customWidth="1"/>
    <col min="14598" max="14598" width="27.28515625" bestFit="1" customWidth="1"/>
    <col min="14599" max="14599" width="4.7109375" bestFit="1" customWidth="1"/>
    <col min="14600" max="14600" width="7.5703125" bestFit="1" customWidth="1"/>
    <col min="14601" max="14601" width="2.140625" bestFit="1" customWidth="1"/>
    <col min="14602" max="14602" width="4.85546875" bestFit="1" customWidth="1"/>
    <col min="14603" max="14603" width="6.7109375" bestFit="1" customWidth="1"/>
    <col min="14604" max="14604" width="9.5703125" bestFit="1" customWidth="1"/>
    <col min="14605" max="14605" width="7.42578125" bestFit="1" customWidth="1"/>
    <col min="14849" max="14849" width="27" bestFit="1" customWidth="1"/>
    <col min="14850" max="14850" width="26.85546875" bestFit="1" customWidth="1"/>
    <col min="14851" max="14851" width="7.7109375" bestFit="1" customWidth="1"/>
    <col min="14852" max="14852" width="6.85546875" bestFit="1" customWidth="1"/>
    <col min="14853" max="14853" width="17.28515625" bestFit="1" customWidth="1"/>
    <col min="14854" max="14854" width="27.28515625" bestFit="1" customWidth="1"/>
    <col min="14855" max="14855" width="4.7109375" bestFit="1" customWidth="1"/>
    <col min="14856" max="14856" width="7.5703125" bestFit="1" customWidth="1"/>
    <col min="14857" max="14857" width="2.140625" bestFit="1" customWidth="1"/>
    <col min="14858" max="14858" width="4.85546875" bestFit="1" customWidth="1"/>
    <col min="14859" max="14859" width="6.7109375" bestFit="1" customWidth="1"/>
    <col min="14860" max="14860" width="9.5703125" bestFit="1" customWidth="1"/>
    <col min="14861" max="14861" width="7.42578125" bestFit="1" customWidth="1"/>
    <col min="15105" max="15105" width="27" bestFit="1" customWidth="1"/>
    <col min="15106" max="15106" width="26.85546875" bestFit="1" customWidth="1"/>
    <col min="15107" max="15107" width="7.7109375" bestFit="1" customWidth="1"/>
    <col min="15108" max="15108" width="6.85546875" bestFit="1" customWidth="1"/>
    <col min="15109" max="15109" width="17.28515625" bestFit="1" customWidth="1"/>
    <col min="15110" max="15110" width="27.28515625" bestFit="1" customWidth="1"/>
    <col min="15111" max="15111" width="4.7109375" bestFit="1" customWidth="1"/>
    <col min="15112" max="15112" width="7.5703125" bestFit="1" customWidth="1"/>
    <col min="15113" max="15113" width="2.140625" bestFit="1" customWidth="1"/>
    <col min="15114" max="15114" width="4.85546875" bestFit="1" customWidth="1"/>
    <col min="15115" max="15115" width="6.7109375" bestFit="1" customWidth="1"/>
    <col min="15116" max="15116" width="9.5703125" bestFit="1" customWidth="1"/>
    <col min="15117" max="15117" width="7.42578125" bestFit="1" customWidth="1"/>
    <col min="15361" max="15361" width="27" bestFit="1" customWidth="1"/>
    <col min="15362" max="15362" width="26.85546875" bestFit="1" customWidth="1"/>
    <col min="15363" max="15363" width="7.7109375" bestFit="1" customWidth="1"/>
    <col min="15364" max="15364" width="6.85546875" bestFit="1" customWidth="1"/>
    <col min="15365" max="15365" width="17.28515625" bestFit="1" customWidth="1"/>
    <col min="15366" max="15366" width="27.28515625" bestFit="1" customWidth="1"/>
    <col min="15367" max="15367" width="4.7109375" bestFit="1" customWidth="1"/>
    <col min="15368" max="15368" width="7.5703125" bestFit="1" customWidth="1"/>
    <col min="15369" max="15369" width="2.140625" bestFit="1" customWidth="1"/>
    <col min="15370" max="15370" width="4.85546875" bestFit="1" customWidth="1"/>
    <col min="15371" max="15371" width="6.7109375" bestFit="1" customWidth="1"/>
    <col min="15372" max="15372" width="9.5703125" bestFit="1" customWidth="1"/>
    <col min="15373" max="15373" width="7.42578125" bestFit="1" customWidth="1"/>
    <col min="15617" max="15617" width="27" bestFit="1" customWidth="1"/>
    <col min="15618" max="15618" width="26.85546875" bestFit="1" customWidth="1"/>
    <col min="15619" max="15619" width="7.7109375" bestFit="1" customWidth="1"/>
    <col min="15620" max="15620" width="6.85546875" bestFit="1" customWidth="1"/>
    <col min="15621" max="15621" width="17.28515625" bestFit="1" customWidth="1"/>
    <col min="15622" max="15622" width="27.28515625" bestFit="1" customWidth="1"/>
    <col min="15623" max="15623" width="4.7109375" bestFit="1" customWidth="1"/>
    <col min="15624" max="15624" width="7.5703125" bestFit="1" customWidth="1"/>
    <col min="15625" max="15625" width="2.140625" bestFit="1" customWidth="1"/>
    <col min="15626" max="15626" width="4.85546875" bestFit="1" customWidth="1"/>
    <col min="15627" max="15627" width="6.7109375" bestFit="1" customWidth="1"/>
    <col min="15628" max="15628" width="9.5703125" bestFit="1" customWidth="1"/>
    <col min="15629" max="15629" width="7.42578125" bestFit="1" customWidth="1"/>
    <col min="15873" max="15873" width="27" bestFit="1" customWidth="1"/>
    <col min="15874" max="15874" width="26.85546875" bestFit="1" customWidth="1"/>
    <col min="15875" max="15875" width="7.7109375" bestFit="1" customWidth="1"/>
    <col min="15876" max="15876" width="6.85546875" bestFit="1" customWidth="1"/>
    <col min="15877" max="15877" width="17.28515625" bestFit="1" customWidth="1"/>
    <col min="15878" max="15878" width="27.28515625" bestFit="1" customWidth="1"/>
    <col min="15879" max="15879" width="4.7109375" bestFit="1" customWidth="1"/>
    <col min="15880" max="15880" width="7.5703125" bestFit="1" customWidth="1"/>
    <col min="15881" max="15881" width="2.140625" bestFit="1" customWidth="1"/>
    <col min="15882" max="15882" width="4.85546875" bestFit="1" customWidth="1"/>
    <col min="15883" max="15883" width="6.7109375" bestFit="1" customWidth="1"/>
    <col min="15884" max="15884" width="9.5703125" bestFit="1" customWidth="1"/>
    <col min="15885" max="15885" width="7.42578125" bestFit="1" customWidth="1"/>
    <col min="16129" max="16129" width="27" bestFit="1" customWidth="1"/>
    <col min="16130" max="16130" width="26.85546875" bestFit="1" customWidth="1"/>
    <col min="16131" max="16131" width="7.7109375" bestFit="1" customWidth="1"/>
    <col min="16132" max="16132" width="6.85546875" bestFit="1" customWidth="1"/>
    <col min="16133" max="16133" width="17.28515625" bestFit="1" customWidth="1"/>
    <col min="16134" max="16134" width="27.28515625" bestFit="1" customWidth="1"/>
    <col min="16135" max="16135" width="4.7109375" bestFit="1" customWidth="1"/>
    <col min="16136" max="16136" width="7.5703125" bestFit="1" customWidth="1"/>
    <col min="16137" max="16137" width="2.140625" bestFit="1" customWidth="1"/>
    <col min="16138" max="16138" width="4.85546875" bestFit="1" customWidth="1"/>
    <col min="16139" max="16139" width="6.7109375" bestFit="1" customWidth="1"/>
    <col min="16140" max="16140" width="9.5703125" bestFit="1" customWidth="1"/>
    <col min="16141" max="16141" width="7.42578125" bestFit="1" customWidth="1"/>
  </cols>
  <sheetData>
    <row r="1" spans="1:13" s="1" customFormat="1" ht="15" customHeight="1">
      <c r="A1" s="53" t="s">
        <v>978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1" customFormat="1" ht="13.5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7" customFormat="1" ht="12.75" customHeight="1">
      <c r="A3" s="59" t="s">
        <v>0</v>
      </c>
      <c r="B3" s="61" t="s">
        <v>863</v>
      </c>
      <c r="C3" s="61" t="s">
        <v>11</v>
      </c>
      <c r="D3" s="63" t="s">
        <v>1</v>
      </c>
      <c r="E3" s="63" t="s">
        <v>2</v>
      </c>
      <c r="F3" s="64" t="s">
        <v>3</v>
      </c>
      <c r="G3" s="63" t="s">
        <v>5</v>
      </c>
      <c r="H3" s="63"/>
      <c r="I3" s="63"/>
      <c r="J3" s="63"/>
      <c r="K3" s="63" t="s">
        <v>7</v>
      </c>
      <c r="L3" s="63" t="s">
        <v>9</v>
      </c>
      <c r="M3" s="66" t="s">
        <v>8</v>
      </c>
    </row>
    <row r="4" spans="1:13" s="7" customFormat="1" ht="23.25" customHeight="1" thickBot="1">
      <c r="A4" s="60"/>
      <c r="B4" s="62"/>
      <c r="C4" s="62"/>
      <c r="D4" s="62"/>
      <c r="E4" s="62"/>
      <c r="F4" s="65"/>
      <c r="G4" s="2" t="s">
        <v>864</v>
      </c>
      <c r="H4" s="2" t="s">
        <v>865</v>
      </c>
      <c r="I4" s="2">
        <v>3</v>
      </c>
      <c r="J4" s="4" t="s">
        <v>10</v>
      </c>
      <c r="K4" s="62"/>
      <c r="L4" s="62"/>
      <c r="M4" s="69"/>
    </row>
    <row r="5" spans="1:13" ht="15">
      <c r="A5" s="70" t="s">
        <v>164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3">
      <c r="A6" s="35" t="s">
        <v>979</v>
      </c>
      <c r="B6" s="35" t="s">
        <v>980</v>
      </c>
      <c r="C6" s="35" t="s">
        <v>981</v>
      </c>
      <c r="D6" s="35" t="str">
        <f>"1,0701"</f>
        <v>1,0701</v>
      </c>
      <c r="E6" s="35" t="s">
        <v>17</v>
      </c>
      <c r="F6" s="35" t="s">
        <v>311</v>
      </c>
      <c r="G6" s="35" t="s">
        <v>982</v>
      </c>
      <c r="H6" s="35" t="s">
        <v>896</v>
      </c>
      <c r="I6" s="36"/>
      <c r="J6" s="36"/>
      <c r="K6" s="35">
        <v>1017.5</v>
      </c>
      <c r="L6" s="35" t="str">
        <f>"1088,8267"</f>
        <v>1088,8267</v>
      </c>
      <c r="M6" s="35"/>
    </row>
    <row r="8" spans="1:13" ht="15">
      <c r="E8" s="37" t="s">
        <v>93</v>
      </c>
    </row>
    <row r="9" spans="1:13" ht="15">
      <c r="E9" s="37" t="s">
        <v>94</v>
      </c>
    </row>
    <row r="10" spans="1:13" ht="15">
      <c r="E10" s="37" t="s">
        <v>95</v>
      </c>
    </row>
    <row r="11" spans="1:13">
      <c r="E11" s="34" t="s">
        <v>96</v>
      </c>
    </row>
    <row r="12" spans="1:13">
      <c r="E12" s="34" t="s">
        <v>97</v>
      </c>
    </row>
    <row r="13" spans="1:13">
      <c r="E13" s="34" t="s">
        <v>98</v>
      </c>
    </row>
    <row r="16" spans="1:13" ht="18">
      <c r="A16" s="38" t="s">
        <v>99</v>
      </c>
      <c r="B16" s="38"/>
    </row>
    <row r="17" spans="1:5" ht="15">
      <c r="A17" s="39" t="s">
        <v>100</v>
      </c>
      <c r="B17" s="39"/>
    </row>
    <row r="18" spans="1:5" ht="14.25">
      <c r="A18" s="41" t="s">
        <v>101</v>
      </c>
      <c r="B18" s="42"/>
    </row>
    <row r="19" spans="1:5" ht="15">
      <c r="A19" s="43" t="s">
        <v>0</v>
      </c>
      <c r="B19" s="43" t="s">
        <v>102</v>
      </c>
      <c r="C19" s="43" t="s">
        <v>103</v>
      </c>
      <c r="D19" s="43" t="s">
        <v>7</v>
      </c>
      <c r="E19" s="43" t="s">
        <v>104</v>
      </c>
    </row>
    <row r="20" spans="1:5">
      <c r="A20" s="40" t="s">
        <v>979</v>
      </c>
      <c r="B20" s="34" t="s">
        <v>305</v>
      </c>
      <c r="C20" s="34" t="s">
        <v>280</v>
      </c>
      <c r="D20" s="34" t="s">
        <v>983</v>
      </c>
      <c r="E20" s="44" t="s">
        <v>984</v>
      </c>
    </row>
  </sheetData>
  <mergeCells count="12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58"/>
  <sheetViews>
    <sheetView workbookViewId="0">
      <selection activeCell="A15" sqref="A15:L15"/>
    </sheetView>
  </sheetViews>
  <sheetFormatPr defaultRowHeight="12.75"/>
  <cols>
    <col min="1" max="1" width="27" style="34" bestFit="1" customWidth="1"/>
    <col min="2" max="2" width="26.85546875" style="34" bestFit="1" customWidth="1"/>
    <col min="3" max="3" width="7.7109375" style="34" bestFit="1" customWidth="1"/>
    <col min="4" max="4" width="6.85546875" style="34" bestFit="1" customWidth="1"/>
    <col min="5" max="5" width="17.28515625" style="34" bestFit="1" customWidth="1"/>
    <col min="6" max="6" width="30.7109375" style="34" bestFit="1" customWidth="1"/>
    <col min="7" max="7" width="5.5703125" style="34" bestFit="1" customWidth="1"/>
    <col min="8" max="8" width="7.5703125" style="34" bestFit="1" customWidth="1"/>
    <col min="9" max="9" width="2.140625" style="34" bestFit="1" customWidth="1"/>
    <col min="10" max="10" width="4.85546875" style="34" bestFit="1" customWidth="1"/>
    <col min="11" max="11" width="6.7109375" style="34" bestFit="1" customWidth="1"/>
    <col min="12" max="12" width="9.5703125" style="34" bestFit="1" customWidth="1"/>
    <col min="13" max="13" width="14" style="34" bestFit="1" customWidth="1"/>
    <col min="257" max="257" width="27" bestFit="1" customWidth="1"/>
    <col min="258" max="258" width="26.85546875" bestFit="1" customWidth="1"/>
    <col min="259" max="259" width="7.7109375" bestFit="1" customWidth="1"/>
    <col min="260" max="260" width="6.85546875" bestFit="1" customWidth="1"/>
    <col min="261" max="261" width="17.28515625" bestFit="1" customWidth="1"/>
    <col min="262" max="262" width="30.7109375" bestFit="1" customWidth="1"/>
    <col min="263" max="263" width="5.5703125" bestFit="1" customWidth="1"/>
    <col min="264" max="264" width="7.5703125" bestFit="1" customWidth="1"/>
    <col min="265" max="265" width="2.140625" bestFit="1" customWidth="1"/>
    <col min="266" max="266" width="4.85546875" bestFit="1" customWidth="1"/>
    <col min="267" max="267" width="6.7109375" bestFit="1" customWidth="1"/>
    <col min="268" max="268" width="9.5703125" bestFit="1" customWidth="1"/>
    <col min="269" max="269" width="14" bestFit="1" customWidth="1"/>
    <col min="513" max="513" width="27" bestFit="1" customWidth="1"/>
    <col min="514" max="514" width="26.85546875" bestFit="1" customWidth="1"/>
    <col min="515" max="515" width="7.7109375" bestFit="1" customWidth="1"/>
    <col min="516" max="516" width="6.85546875" bestFit="1" customWidth="1"/>
    <col min="517" max="517" width="17.28515625" bestFit="1" customWidth="1"/>
    <col min="518" max="518" width="30.7109375" bestFit="1" customWidth="1"/>
    <col min="519" max="519" width="5.5703125" bestFit="1" customWidth="1"/>
    <col min="520" max="520" width="7.5703125" bestFit="1" customWidth="1"/>
    <col min="521" max="521" width="2.140625" bestFit="1" customWidth="1"/>
    <col min="522" max="522" width="4.85546875" bestFit="1" customWidth="1"/>
    <col min="523" max="523" width="6.7109375" bestFit="1" customWidth="1"/>
    <col min="524" max="524" width="9.5703125" bestFit="1" customWidth="1"/>
    <col min="525" max="525" width="14" bestFit="1" customWidth="1"/>
    <col min="769" max="769" width="27" bestFit="1" customWidth="1"/>
    <col min="770" max="770" width="26.85546875" bestFit="1" customWidth="1"/>
    <col min="771" max="771" width="7.7109375" bestFit="1" customWidth="1"/>
    <col min="772" max="772" width="6.85546875" bestFit="1" customWidth="1"/>
    <col min="773" max="773" width="17.28515625" bestFit="1" customWidth="1"/>
    <col min="774" max="774" width="30.7109375" bestFit="1" customWidth="1"/>
    <col min="775" max="775" width="5.5703125" bestFit="1" customWidth="1"/>
    <col min="776" max="776" width="7.5703125" bestFit="1" customWidth="1"/>
    <col min="777" max="777" width="2.140625" bestFit="1" customWidth="1"/>
    <col min="778" max="778" width="4.85546875" bestFit="1" customWidth="1"/>
    <col min="779" max="779" width="6.7109375" bestFit="1" customWidth="1"/>
    <col min="780" max="780" width="9.5703125" bestFit="1" customWidth="1"/>
    <col min="781" max="781" width="14" bestFit="1" customWidth="1"/>
    <col min="1025" max="1025" width="27" bestFit="1" customWidth="1"/>
    <col min="1026" max="1026" width="26.85546875" bestFit="1" customWidth="1"/>
    <col min="1027" max="1027" width="7.7109375" bestFit="1" customWidth="1"/>
    <col min="1028" max="1028" width="6.85546875" bestFit="1" customWidth="1"/>
    <col min="1029" max="1029" width="17.28515625" bestFit="1" customWidth="1"/>
    <col min="1030" max="1030" width="30.7109375" bestFit="1" customWidth="1"/>
    <col min="1031" max="1031" width="5.5703125" bestFit="1" customWidth="1"/>
    <col min="1032" max="1032" width="7.5703125" bestFit="1" customWidth="1"/>
    <col min="1033" max="1033" width="2.140625" bestFit="1" customWidth="1"/>
    <col min="1034" max="1034" width="4.85546875" bestFit="1" customWidth="1"/>
    <col min="1035" max="1035" width="6.7109375" bestFit="1" customWidth="1"/>
    <col min="1036" max="1036" width="9.5703125" bestFit="1" customWidth="1"/>
    <col min="1037" max="1037" width="14" bestFit="1" customWidth="1"/>
    <col min="1281" max="1281" width="27" bestFit="1" customWidth="1"/>
    <col min="1282" max="1282" width="26.85546875" bestFit="1" customWidth="1"/>
    <col min="1283" max="1283" width="7.7109375" bestFit="1" customWidth="1"/>
    <col min="1284" max="1284" width="6.85546875" bestFit="1" customWidth="1"/>
    <col min="1285" max="1285" width="17.28515625" bestFit="1" customWidth="1"/>
    <col min="1286" max="1286" width="30.7109375" bestFit="1" customWidth="1"/>
    <col min="1287" max="1287" width="5.5703125" bestFit="1" customWidth="1"/>
    <col min="1288" max="1288" width="7.5703125" bestFit="1" customWidth="1"/>
    <col min="1289" max="1289" width="2.140625" bestFit="1" customWidth="1"/>
    <col min="1290" max="1290" width="4.85546875" bestFit="1" customWidth="1"/>
    <col min="1291" max="1291" width="6.7109375" bestFit="1" customWidth="1"/>
    <col min="1292" max="1292" width="9.5703125" bestFit="1" customWidth="1"/>
    <col min="1293" max="1293" width="14" bestFit="1" customWidth="1"/>
    <col min="1537" max="1537" width="27" bestFit="1" customWidth="1"/>
    <col min="1538" max="1538" width="26.85546875" bestFit="1" customWidth="1"/>
    <col min="1539" max="1539" width="7.7109375" bestFit="1" customWidth="1"/>
    <col min="1540" max="1540" width="6.85546875" bestFit="1" customWidth="1"/>
    <col min="1541" max="1541" width="17.28515625" bestFit="1" customWidth="1"/>
    <col min="1542" max="1542" width="30.7109375" bestFit="1" customWidth="1"/>
    <col min="1543" max="1543" width="5.5703125" bestFit="1" customWidth="1"/>
    <col min="1544" max="1544" width="7.5703125" bestFit="1" customWidth="1"/>
    <col min="1545" max="1545" width="2.140625" bestFit="1" customWidth="1"/>
    <col min="1546" max="1546" width="4.85546875" bestFit="1" customWidth="1"/>
    <col min="1547" max="1547" width="6.7109375" bestFit="1" customWidth="1"/>
    <col min="1548" max="1548" width="9.5703125" bestFit="1" customWidth="1"/>
    <col min="1549" max="1549" width="14" bestFit="1" customWidth="1"/>
    <col min="1793" max="1793" width="27" bestFit="1" customWidth="1"/>
    <col min="1794" max="1794" width="26.85546875" bestFit="1" customWidth="1"/>
    <col min="1795" max="1795" width="7.7109375" bestFit="1" customWidth="1"/>
    <col min="1796" max="1796" width="6.85546875" bestFit="1" customWidth="1"/>
    <col min="1797" max="1797" width="17.28515625" bestFit="1" customWidth="1"/>
    <col min="1798" max="1798" width="30.7109375" bestFit="1" customWidth="1"/>
    <col min="1799" max="1799" width="5.5703125" bestFit="1" customWidth="1"/>
    <col min="1800" max="1800" width="7.5703125" bestFit="1" customWidth="1"/>
    <col min="1801" max="1801" width="2.140625" bestFit="1" customWidth="1"/>
    <col min="1802" max="1802" width="4.85546875" bestFit="1" customWidth="1"/>
    <col min="1803" max="1803" width="6.7109375" bestFit="1" customWidth="1"/>
    <col min="1804" max="1804" width="9.5703125" bestFit="1" customWidth="1"/>
    <col min="1805" max="1805" width="14" bestFit="1" customWidth="1"/>
    <col min="2049" max="2049" width="27" bestFit="1" customWidth="1"/>
    <col min="2050" max="2050" width="26.85546875" bestFit="1" customWidth="1"/>
    <col min="2051" max="2051" width="7.7109375" bestFit="1" customWidth="1"/>
    <col min="2052" max="2052" width="6.85546875" bestFit="1" customWidth="1"/>
    <col min="2053" max="2053" width="17.28515625" bestFit="1" customWidth="1"/>
    <col min="2054" max="2054" width="30.7109375" bestFit="1" customWidth="1"/>
    <col min="2055" max="2055" width="5.5703125" bestFit="1" customWidth="1"/>
    <col min="2056" max="2056" width="7.5703125" bestFit="1" customWidth="1"/>
    <col min="2057" max="2057" width="2.140625" bestFit="1" customWidth="1"/>
    <col min="2058" max="2058" width="4.85546875" bestFit="1" customWidth="1"/>
    <col min="2059" max="2059" width="6.7109375" bestFit="1" customWidth="1"/>
    <col min="2060" max="2060" width="9.5703125" bestFit="1" customWidth="1"/>
    <col min="2061" max="2061" width="14" bestFit="1" customWidth="1"/>
    <col min="2305" max="2305" width="27" bestFit="1" customWidth="1"/>
    <col min="2306" max="2306" width="26.85546875" bestFit="1" customWidth="1"/>
    <col min="2307" max="2307" width="7.7109375" bestFit="1" customWidth="1"/>
    <col min="2308" max="2308" width="6.85546875" bestFit="1" customWidth="1"/>
    <col min="2309" max="2309" width="17.28515625" bestFit="1" customWidth="1"/>
    <col min="2310" max="2310" width="30.7109375" bestFit="1" customWidth="1"/>
    <col min="2311" max="2311" width="5.5703125" bestFit="1" customWidth="1"/>
    <col min="2312" max="2312" width="7.5703125" bestFit="1" customWidth="1"/>
    <col min="2313" max="2313" width="2.140625" bestFit="1" customWidth="1"/>
    <col min="2314" max="2314" width="4.85546875" bestFit="1" customWidth="1"/>
    <col min="2315" max="2315" width="6.7109375" bestFit="1" customWidth="1"/>
    <col min="2316" max="2316" width="9.5703125" bestFit="1" customWidth="1"/>
    <col min="2317" max="2317" width="14" bestFit="1" customWidth="1"/>
    <col min="2561" max="2561" width="27" bestFit="1" customWidth="1"/>
    <col min="2562" max="2562" width="26.85546875" bestFit="1" customWidth="1"/>
    <col min="2563" max="2563" width="7.7109375" bestFit="1" customWidth="1"/>
    <col min="2564" max="2564" width="6.85546875" bestFit="1" customWidth="1"/>
    <col min="2565" max="2565" width="17.28515625" bestFit="1" customWidth="1"/>
    <col min="2566" max="2566" width="30.7109375" bestFit="1" customWidth="1"/>
    <col min="2567" max="2567" width="5.5703125" bestFit="1" customWidth="1"/>
    <col min="2568" max="2568" width="7.5703125" bestFit="1" customWidth="1"/>
    <col min="2569" max="2569" width="2.140625" bestFit="1" customWidth="1"/>
    <col min="2570" max="2570" width="4.85546875" bestFit="1" customWidth="1"/>
    <col min="2571" max="2571" width="6.7109375" bestFit="1" customWidth="1"/>
    <col min="2572" max="2572" width="9.5703125" bestFit="1" customWidth="1"/>
    <col min="2573" max="2573" width="14" bestFit="1" customWidth="1"/>
    <col min="2817" max="2817" width="27" bestFit="1" customWidth="1"/>
    <col min="2818" max="2818" width="26.85546875" bestFit="1" customWidth="1"/>
    <col min="2819" max="2819" width="7.7109375" bestFit="1" customWidth="1"/>
    <col min="2820" max="2820" width="6.85546875" bestFit="1" customWidth="1"/>
    <col min="2821" max="2821" width="17.28515625" bestFit="1" customWidth="1"/>
    <col min="2822" max="2822" width="30.7109375" bestFit="1" customWidth="1"/>
    <col min="2823" max="2823" width="5.5703125" bestFit="1" customWidth="1"/>
    <col min="2824" max="2824" width="7.5703125" bestFit="1" customWidth="1"/>
    <col min="2825" max="2825" width="2.140625" bestFit="1" customWidth="1"/>
    <col min="2826" max="2826" width="4.85546875" bestFit="1" customWidth="1"/>
    <col min="2827" max="2827" width="6.7109375" bestFit="1" customWidth="1"/>
    <col min="2828" max="2828" width="9.5703125" bestFit="1" customWidth="1"/>
    <col min="2829" max="2829" width="14" bestFit="1" customWidth="1"/>
    <col min="3073" max="3073" width="27" bestFit="1" customWidth="1"/>
    <col min="3074" max="3074" width="26.85546875" bestFit="1" customWidth="1"/>
    <col min="3075" max="3075" width="7.7109375" bestFit="1" customWidth="1"/>
    <col min="3076" max="3076" width="6.85546875" bestFit="1" customWidth="1"/>
    <col min="3077" max="3077" width="17.28515625" bestFit="1" customWidth="1"/>
    <col min="3078" max="3078" width="30.7109375" bestFit="1" customWidth="1"/>
    <col min="3079" max="3079" width="5.5703125" bestFit="1" customWidth="1"/>
    <col min="3080" max="3080" width="7.5703125" bestFit="1" customWidth="1"/>
    <col min="3081" max="3081" width="2.140625" bestFit="1" customWidth="1"/>
    <col min="3082" max="3082" width="4.85546875" bestFit="1" customWidth="1"/>
    <col min="3083" max="3083" width="6.7109375" bestFit="1" customWidth="1"/>
    <col min="3084" max="3084" width="9.5703125" bestFit="1" customWidth="1"/>
    <col min="3085" max="3085" width="14" bestFit="1" customWidth="1"/>
    <col min="3329" max="3329" width="27" bestFit="1" customWidth="1"/>
    <col min="3330" max="3330" width="26.85546875" bestFit="1" customWidth="1"/>
    <col min="3331" max="3331" width="7.7109375" bestFit="1" customWidth="1"/>
    <col min="3332" max="3332" width="6.85546875" bestFit="1" customWidth="1"/>
    <col min="3333" max="3333" width="17.28515625" bestFit="1" customWidth="1"/>
    <col min="3334" max="3334" width="30.7109375" bestFit="1" customWidth="1"/>
    <col min="3335" max="3335" width="5.5703125" bestFit="1" customWidth="1"/>
    <col min="3336" max="3336" width="7.5703125" bestFit="1" customWidth="1"/>
    <col min="3337" max="3337" width="2.140625" bestFit="1" customWidth="1"/>
    <col min="3338" max="3338" width="4.85546875" bestFit="1" customWidth="1"/>
    <col min="3339" max="3339" width="6.7109375" bestFit="1" customWidth="1"/>
    <col min="3340" max="3340" width="9.5703125" bestFit="1" customWidth="1"/>
    <col min="3341" max="3341" width="14" bestFit="1" customWidth="1"/>
    <col min="3585" max="3585" width="27" bestFit="1" customWidth="1"/>
    <col min="3586" max="3586" width="26.85546875" bestFit="1" customWidth="1"/>
    <col min="3587" max="3587" width="7.7109375" bestFit="1" customWidth="1"/>
    <col min="3588" max="3588" width="6.85546875" bestFit="1" customWidth="1"/>
    <col min="3589" max="3589" width="17.28515625" bestFit="1" customWidth="1"/>
    <col min="3590" max="3590" width="30.7109375" bestFit="1" customWidth="1"/>
    <col min="3591" max="3591" width="5.5703125" bestFit="1" customWidth="1"/>
    <col min="3592" max="3592" width="7.5703125" bestFit="1" customWidth="1"/>
    <col min="3593" max="3593" width="2.140625" bestFit="1" customWidth="1"/>
    <col min="3594" max="3594" width="4.85546875" bestFit="1" customWidth="1"/>
    <col min="3595" max="3595" width="6.7109375" bestFit="1" customWidth="1"/>
    <col min="3596" max="3596" width="9.5703125" bestFit="1" customWidth="1"/>
    <col min="3597" max="3597" width="14" bestFit="1" customWidth="1"/>
    <col min="3841" max="3841" width="27" bestFit="1" customWidth="1"/>
    <col min="3842" max="3842" width="26.85546875" bestFit="1" customWidth="1"/>
    <col min="3843" max="3843" width="7.7109375" bestFit="1" customWidth="1"/>
    <col min="3844" max="3844" width="6.85546875" bestFit="1" customWidth="1"/>
    <col min="3845" max="3845" width="17.28515625" bestFit="1" customWidth="1"/>
    <col min="3846" max="3846" width="30.7109375" bestFit="1" customWidth="1"/>
    <col min="3847" max="3847" width="5.5703125" bestFit="1" customWidth="1"/>
    <col min="3848" max="3848" width="7.5703125" bestFit="1" customWidth="1"/>
    <col min="3849" max="3849" width="2.140625" bestFit="1" customWidth="1"/>
    <col min="3850" max="3850" width="4.85546875" bestFit="1" customWidth="1"/>
    <col min="3851" max="3851" width="6.7109375" bestFit="1" customWidth="1"/>
    <col min="3852" max="3852" width="9.5703125" bestFit="1" customWidth="1"/>
    <col min="3853" max="3853" width="14" bestFit="1" customWidth="1"/>
    <col min="4097" max="4097" width="27" bestFit="1" customWidth="1"/>
    <col min="4098" max="4098" width="26.85546875" bestFit="1" customWidth="1"/>
    <col min="4099" max="4099" width="7.7109375" bestFit="1" customWidth="1"/>
    <col min="4100" max="4100" width="6.85546875" bestFit="1" customWidth="1"/>
    <col min="4101" max="4101" width="17.28515625" bestFit="1" customWidth="1"/>
    <col min="4102" max="4102" width="30.7109375" bestFit="1" customWidth="1"/>
    <col min="4103" max="4103" width="5.5703125" bestFit="1" customWidth="1"/>
    <col min="4104" max="4104" width="7.5703125" bestFit="1" customWidth="1"/>
    <col min="4105" max="4105" width="2.140625" bestFit="1" customWidth="1"/>
    <col min="4106" max="4106" width="4.85546875" bestFit="1" customWidth="1"/>
    <col min="4107" max="4107" width="6.7109375" bestFit="1" customWidth="1"/>
    <col min="4108" max="4108" width="9.5703125" bestFit="1" customWidth="1"/>
    <col min="4109" max="4109" width="14" bestFit="1" customWidth="1"/>
    <col min="4353" max="4353" width="27" bestFit="1" customWidth="1"/>
    <col min="4354" max="4354" width="26.85546875" bestFit="1" customWidth="1"/>
    <col min="4355" max="4355" width="7.7109375" bestFit="1" customWidth="1"/>
    <col min="4356" max="4356" width="6.85546875" bestFit="1" customWidth="1"/>
    <col min="4357" max="4357" width="17.28515625" bestFit="1" customWidth="1"/>
    <col min="4358" max="4358" width="30.7109375" bestFit="1" customWidth="1"/>
    <col min="4359" max="4359" width="5.5703125" bestFit="1" customWidth="1"/>
    <col min="4360" max="4360" width="7.5703125" bestFit="1" customWidth="1"/>
    <col min="4361" max="4361" width="2.140625" bestFit="1" customWidth="1"/>
    <col min="4362" max="4362" width="4.85546875" bestFit="1" customWidth="1"/>
    <col min="4363" max="4363" width="6.7109375" bestFit="1" customWidth="1"/>
    <col min="4364" max="4364" width="9.5703125" bestFit="1" customWidth="1"/>
    <col min="4365" max="4365" width="14" bestFit="1" customWidth="1"/>
    <col min="4609" max="4609" width="27" bestFit="1" customWidth="1"/>
    <col min="4610" max="4610" width="26.85546875" bestFit="1" customWidth="1"/>
    <col min="4611" max="4611" width="7.7109375" bestFit="1" customWidth="1"/>
    <col min="4612" max="4612" width="6.85546875" bestFit="1" customWidth="1"/>
    <col min="4613" max="4613" width="17.28515625" bestFit="1" customWidth="1"/>
    <col min="4614" max="4614" width="30.7109375" bestFit="1" customWidth="1"/>
    <col min="4615" max="4615" width="5.5703125" bestFit="1" customWidth="1"/>
    <col min="4616" max="4616" width="7.5703125" bestFit="1" customWidth="1"/>
    <col min="4617" max="4617" width="2.140625" bestFit="1" customWidth="1"/>
    <col min="4618" max="4618" width="4.85546875" bestFit="1" customWidth="1"/>
    <col min="4619" max="4619" width="6.7109375" bestFit="1" customWidth="1"/>
    <col min="4620" max="4620" width="9.5703125" bestFit="1" customWidth="1"/>
    <col min="4621" max="4621" width="14" bestFit="1" customWidth="1"/>
    <col min="4865" max="4865" width="27" bestFit="1" customWidth="1"/>
    <col min="4866" max="4866" width="26.85546875" bestFit="1" customWidth="1"/>
    <col min="4867" max="4867" width="7.7109375" bestFit="1" customWidth="1"/>
    <col min="4868" max="4868" width="6.85546875" bestFit="1" customWidth="1"/>
    <col min="4869" max="4869" width="17.28515625" bestFit="1" customWidth="1"/>
    <col min="4870" max="4870" width="30.7109375" bestFit="1" customWidth="1"/>
    <col min="4871" max="4871" width="5.5703125" bestFit="1" customWidth="1"/>
    <col min="4872" max="4872" width="7.5703125" bestFit="1" customWidth="1"/>
    <col min="4873" max="4873" width="2.140625" bestFit="1" customWidth="1"/>
    <col min="4874" max="4874" width="4.85546875" bestFit="1" customWidth="1"/>
    <col min="4875" max="4875" width="6.7109375" bestFit="1" customWidth="1"/>
    <col min="4876" max="4876" width="9.5703125" bestFit="1" customWidth="1"/>
    <col min="4877" max="4877" width="14" bestFit="1" customWidth="1"/>
    <col min="5121" max="5121" width="27" bestFit="1" customWidth="1"/>
    <col min="5122" max="5122" width="26.85546875" bestFit="1" customWidth="1"/>
    <col min="5123" max="5123" width="7.7109375" bestFit="1" customWidth="1"/>
    <col min="5124" max="5124" width="6.85546875" bestFit="1" customWidth="1"/>
    <col min="5125" max="5125" width="17.28515625" bestFit="1" customWidth="1"/>
    <col min="5126" max="5126" width="30.7109375" bestFit="1" customWidth="1"/>
    <col min="5127" max="5127" width="5.5703125" bestFit="1" customWidth="1"/>
    <col min="5128" max="5128" width="7.5703125" bestFit="1" customWidth="1"/>
    <col min="5129" max="5129" width="2.140625" bestFit="1" customWidth="1"/>
    <col min="5130" max="5130" width="4.85546875" bestFit="1" customWidth="1"/>
    <col min="5131" max="5131" width="6.7109375" bestFit="1" customWidth="1"/>
    <col min="5132" max="5132" width="9.5703125" bestFit="1" customWidth="1"/>
    <col min="5133" max="5133" width="14" bestFit="1" customWidth="1"/>
    <col min="5377" max="5377" width="27" bestFit="1" customWidth="1"/>
    <col min="5378" max="5378" width="26.85546875" bestFit="1" customWidth="1"/>
    <col min="5379" max="5379" width="7.7109375" bestFit="1" customWidth="1"/>
    <col min="5380" max="5380" width="6.85546875" bestFit="1" customWidth="1"/>
    <col min="5381" max="5381" width="17.28515625" bestFit="1" customWidth="1"/>
    <col min="5382" max="5382" width="30.7109375" bestFit="1" customWidth="1"/>
    <col min="5383" max="5383" width="5.5703125" bestFit="1" customWidth="1"/>
    <col min="5384" max="5384" width="7.5703125" bestFit="1" customWidth="1"/>
    <col min="5385" max="5385" width="2.140625" bestFit="1" customWidth="1"/>
    <col min="5386" max="5386" width="4.85546875" bestFit="1" customWidth="1"/>
    <col min="5387" max="5387" width="6.7109375" bestFit="1" customWidth="1"/>
    <col min="5388" max="5388" width="9.5703125" bestFit="1" customWidth="1"/>
    <col min="5389" max="5389" width="14" bestFit="1" customWidth="1"/>
    <col min="5633" max="5633" width="27" bestFit="1" customWidth="1"/>
    <col min="5634" max="5634" width="26.85546875" bestFit="1" customWidth="1"/>
    <col min="5635" max="5635" width="7.7109375" bestFit="1" customWidth="1"/>
    <col min="5636" max="5636" width="6.85546875" bestFit="1" customWidth="1"/>
    <col min="5637" max="5637" width="17.28515625" bestFit="1" customWidth="1"/>
    <col min="5638" max="5638" width="30.7109375" bestFit="1" customWidth="1"/>
    <col min="5639" max="5639" width="5.5703125" bestFit="1" customWidth="1"/>
    <col min="5640" max="5640" width="7.5703125" bestFit="1" customWidth="1"/>
    <col min="5641" max="5641" width="2.140625" bestFit="1" customWidth="1"/>
    <col min="5642" max="5642" width="4.85546875" bestFit="1" customWidth="1"/>
    <col min="5643" max="5643" width="6.7109375" bestFit="1" customWidth="1"/>
    <col min="5644" max="5644" width="9.5703125" bestFit="1" customWidth="1"/>
    <col min="5645" max="5645" width="14" bestFit="1" customWidth="1"/>
    <col min="5889" max="5889" width="27" bestFit="1" customWidth="1"/>
    <col min="5890" max="5890" width="26.85546875" bestFit="1" customWidth="1"/>
    <col min="5891" max="5891" width="7.7109375" bestFit="1" customWidth="1"/>
    <col min="5892" max="5892" width="6.85546875" bestFit="1" customWidth="1"/>
    <col min="5893" max="5893" width="17.28515625" bestFit="1" customWidth="1"/>
    <col min="5894" max="5894" width="30.7109375" bestFit="1" customWidth="1"/>
    <col min="5895" max="5895" width="5.5703125" bestFit="1" customWidth="1"/>
    <col min="5896" max="5896" width="7.5703125" bestFit="1" customWidth="1"/>
    <col min="5897" max="5897" width="2.140625" bestFit="1" customWidth="1"/>
    <col min="5898" max="5898" width="4.85546875" bestFit="1" customWidth="1"/>
    <col min="5899" max="5899" width="6.7109375" bestFit="1" customWidth="1"/>
    <col min="5900" max="5900" width="9.5703125" bestFit="1" customWidth="1"/>
    <col min="5901" max="5901" width="14" bestFit="1" customWidth="1"/>
    <col min="6145" max="6145" width="27" bestFit="1" customWidth="1"/>
    <col min="6146" max="6146" width="26.85546875" bestFit="1" customWidth="1"/>
    <col min="6147" max="6147" width="7.7109375" bestFit="1" customWidth="1"/>
    <col min="6148" max="6148" width="6.85546875" bestFit="1" customWidth="1"/>
    <col min="6149" max="6149" width="17.28515625" bestFit="1" customWidth="1"/>
    <col min="6150" max="6150" width="30.7109375" bestFit="1" customWidth="1"/>
    <col min="6151" max="6151" width="5.5703125" bestFit="1" customWidth="1"/>
    <col min="6152" max="6152" width="7.5703125" bestFit="1" customWidth="1"/>
    <col min="6153" max="6153" width="2.140625" bestFit="1" customWidth="1"/>
    <col min="6154" max="6154" width="4.85546875" bestFit="1" customWidth="1"/>
    <col min="6155" max="6155" width="6.7109375" bestFit="1" customWidth="1"/>
    <col min="6156" max="6156" width="9.5703125" bestFit="1" customWidth="1"/>
    <col min="6157" max="6157" width="14" bestFit="1" customWidth="1"/>
    <col min="6401" max="6401" width="27" bestFit="1" customWidth="1"/>
    <col min="6402" max="6402" width="26.85546875" bestFit="1" customWidth="1"/>
    <col min="6403" max="6403" width="7.7109375" bestFit="1" customWidth="1"/>
    <col min="6404" max="6404" width="6.85546875" bestFit="1" customWidth="1"/>
    <col min="6405" max="6405" width="17.28515625" bestFit="1" customWidth="1"/>
    <col min="6406" max="6406" width="30.7109375" bestFit="1" customWidth="1"/>
    <col min="6407" max="6407" width="5.5703125" bestFit="1" customWidth="1"/>
    <col min="6408" max="6408" width="7.5703125" bestFit="1" customWidth="1"/>
    <col min="6409" max="6409" width="2.140625" bestFit="1" customWidth="1"/>
    <col min="6410" max="6410" width="4.85546875" bestFit="1" customWidth="1"/>
    <col min="6411" max="6411" width="6.7109375" bestFit="1" customWidth="1"/>
    <col min="6412" max="6412" width="9.5703125" bestFit="1" customWidth="1"/>
    <col min="6413" max="6413" width="14" bestFit="1" customWidth="1"/>
    <col min="6657" max="6657" width="27" bestFit="1" customWidth="1"/>
    <col min="6658" max="6658" width="26.85546875" bestFit="1" customWidth="1"/>
    <col min="6659" max="6659" width="7.7109375" bestFit="1" customWidth="1"/>
    <col min="6660" max="6660" width="6.85546875" bestFit="1" customWidth="1"/>
    <col min="6661" max="6661" width="17.28515625" bestFit="1" customWidth="1"/>
    <col min="6662" max="6662" width="30.7109375" bestFit="1" customWidth="1"/>
    <col min="6663" max="6663" width="5.5703125" bestFit="1" customWidth="1"/>
    <col min="6664" max="6664" width="7.5703125" bestFit="1" customWidth="1"/>
    <col min="6665" max="6665" width="2.140625" bestFit="1" customWidth="1"/>
    <col min="6666" max="6666" width="4.85546875" bestFit="1" customWidth="1"/>
    <col min="6667" max="6667" width="6.7109375" bestFit="1" customWidth="1"/>
    <col min="6668" max="6668" width="9.5703125" bestFit="1" customWidth="1"/>
    <col min="6669" max="6669" width="14" bestFit="1" customWidth="1"/>
    <col min="6913" max="6913" width="27" bestFit="1" customWidth="1"/>
    <col min="6914" max="6914" width="26.85546875" bestFit="1" customWidth="1"/>
    <col min="6915" max="6915" width="7.7109375" bestFit="1" customWidth="1"/>
    <col min="6916" max="6916" width="6.85546875" bestFit="1" customWidth="1"/>
    <col min="6917" max="6917" width="17.28515625" bestFit="1" customWidth="1"/>
    <col min="6918" max="6918" width="30.7109375" bestFit="1" customWidth="1"/>
    <col min="6919" max="6919" width="5.5703125" bestFit="1" customWidth="1"/>
    <col min="6920" max="6920" width="7.5703125" bestFit="1" customWidth="1"/>
    <col min="6921" max="6921" width="2.140625" bestFit="1" customWidth="1"/>
    <col min="6922" max="6922" width="4.85546875" bestFit="1" customWidth="1"/>
    <col min="6923" max="6923" width="6.7109375" bestFit="1" customWidth="1"/>
    <col min="6924" max="6924" width="9.5703125" bestFit="1" customWidth="1"/>
    <col min="6925" max="6925" width="14" bestFit="1" customWidth="1"/>
    <col min="7169" max="7169" width="27" bestFit="1" customWidth="1"/>
    <col min="7170" max="7170" width="26.85546875" bestFit="1" customWidth="1"/>
    <col min="7171" max="7171" width="7.7109375" bestFit="1" customWidth="1"/>
    <col min="7172" max="7172" width="6.85546875" bestFit="1" customWidth="1"/>
    <col min="7173" max="7173" width="17.28515625" bestFit="1" customWidth="1"/>
    <col min="7174" max="7174" width="30.7109375" bestFit="1" customWidth="1"/>
    <col min="7175" max="7175" width="5.5703125" bestFit="1" customWidth="1"/>
    <col min="7176" max="7176" width="7.5703125" bestFit="1" customWidth="1"/>
    <col min="7177" max="7177" width="2.140625" bestFit="1" customWidth="1"/>
    <col min="7178" max="7178" width="4.85546875" bestFit="1" customWidth="1"/>
    <col min="7179" max="7179" width="6.7109375" bestFit="1" customWidth="1"/>
    <col min="7180" max="7180" width="9.5703125" bestFit="1" customWidth="1"/>
    <col min="7181" max="7181" width="14" bestFit="1" customWidth="1"/>
    <col min="7425" max="7425" width="27" bestFit="1" customWidth="1"/>
    <col min="7426" max="7426" width="26.85546875" bestFit="1" customWidth="1"/>
    <col min="7427" max="7427" width="7.7109375" bestFit="1" customWidth="1"/>
    <col min="7428" max="7428" width="6.85546875" bestFit="1" customWidth="1"/>
    <col min="7429" max="7429" width="17.28515625" bestFit="1" customWidth="1"/>
    <col min="7430" max="7430" width="30.7109375" bestFit="1" customWidth="1"/>
    <col min="7431" max="7431" width="5.5703125" bestFit="1" customWidth="1"/>
    <col min="7432" max="7432" width="7.5703125" bestFit="1" customWidth="1"/>
    <col min="7433" max="7433" width="2.140625" bestFit="1" customWidth="1"/>
    <col min="7434" max="7434" width="4.85546875" bestFit="1" customWidth="1"/>
    <col min="7435" max="7435" width="6.7109375" bestFit="1" customWidth="1"/>
    <col min="7436" max="7436" width="9.5703125" bestFit="1" customWidth="1"/>
    <col min="7437" max="7437" width="14" bestFit="1" customWidth="1"/>
    <col min="7681" max="7681" width="27" bestFit="1" customWidth="1"/>
    <col min="7682" max="7682" width="26.85546875" bestFit="1" customWidth="1"/>
    <col min="7683" max="7683" width="7.7109375" bestFit="1" customWidth="1"/>
    <col min="7684" max="7684" width="6.85546875" bestFit="1" customWidth="1"/>
    <col min="7685" max="7685" width="17.28515625" bestFit="1" customWidth="1"/>
    <col min="7686" max="7686" width="30.7109375" bestFit="1" customWidth="1"/>
    <col min="7687" max="7687" width="5.5703125" bestFit="1" customWidth="1"/>
    <col min="7688" max="7688" width="7.5703125" bestFit="1" customWidth="1"/>
    <col min="7689" max="7689" width="2.140625" bestFit="1" customWidth="1"/>
    <col min="7690" max="7690" width="4.85546875" bestFit="1" customWidth="1"/>
    <col min="7691" max="7691" width="6.7109375" bestFit="1" customWidth="1"/>
    <col min="7692" max="7692" width="9.5703125" bestFit="1" customWidth="1"/>
    <col min="7693" max="7693" width="14" bestFit="1" customWidth="1"/>
    <col min="7937" max="7937" width="27" bestFit="1" customWidth="1"/>
    <col min="7938" max="7938" width="26.85546875" bestFit="1" customWidth="1"/>
    <col min="7939" max="7939" width="7.7109375" bestFit="1" customWidth="1"/>
    <col min="7940" max="7940" width="6.85546875" bestFit="1" customWidth="1"/>
    <col min="7941" max="7941" width="17.28515625" bestFit="1" customWidth="1"/>
    <col min="7942" max="7942" width="30.7109375" bestFit="1" customWidth="1"/>
    <col min="7943" max="7943" width="5.5703125" bestFit="1" customWidth="1"/>
    <col min="7944" max="7944" width="7.5703125" bestFit="1" customWidth="1"/>
    <col min="7945" max="7945" width="2.140625" bestFit="1" customWidth="1"/>
    <col min="7946" max="7946" width="4.85546875" bestFit="1" customWidth="1"/>
    <col min="7947" max="7947" width="6.7109375" bestFit="1" customWidth="1"/>
    <col min="7948" max="7948" width="9.5703125" bestFit="1" customWidth="1"/>
    <col min="7949" max="7949" width="14" bestFit="1" customWidth="1"/>
    <col min="8193" max="8193" width="27" bestFit="1" customWidth="1"/>
    <col min="8194" max="8194" width="26.85546875" bestFit="1" customWidth="1"/>
    <col min="8195" max="8195" width="7.7109375" bestFit="1" customWidth="1"/>
    <col min="8196" max="8196" width="6.85546875" bestFit="1" customWidth="1"/>
    <col min="8197" max="8197" width="17.28515625" bestFit="1" customWidth="1"/>
    <col min="8198" max="8198" width="30.7109375" bestFit="1" customWidth="1"/>
    <col min="8199" max="8199" width="5.5703125" bestFit="1" customWidth="1"/>
    <col min="8200" max="8200" width="7.5703125" bestFit="1" customWidth="1"/>
    <col min="8201" max="8201" width="2.140625" bestFit="1" customWidth="1"/>
    <col min="8202" max="8202" width="4.85546875" bestFit="1" customWidth="1"/>
    <col min="8203" max="8203" width="6.7109375" bestFit="1" customWidth="1"/>
    <col min="8204" max="8204" width="9.5703125" bestFit="1" customWidth="1"/>
    <col min="8205" max="8205" width="14" bestFit="1" customWidth="1"/>
    <col min="8449" max="8449" width="27" bestFit="1" customWidth="1"/>
    <col min="8450" max="8450" width="26.85546875" bestFit="1" customWidth="1"/>
    <col min="8451" max="8451" width="7.7109375" bestFit="1" customWidth="1"/>
    <col min="8452" max="8452" width="6.85546875" bestFit="1" customWidth="1"/>
    <col min="8453" max="8453" width="17.28515625" bestFit="1" customWidth="1"/>
    <col min="8454" max="8454" width="30.7109375" bestFit="1" customWidth="1"/>
    <col min="8455" max="8455" width="5.5703125" bestFit="1" customWidth="1"/>
    <col min="8456" max="8456" width="7.5703125" bestFit="1" customWidth="1"/>
    <col min="8457" max="8457" width="2.140625" bestFit="1" customWidth="1"/>
    <col min="8458" max="8458" width="4.85546875" bestFit="1" customWidth="1"/>
    <col min="8459" max="8459" width="6.7109375" bestFit="1" customWidth="1"/>
    <col min="8460" max="8460" width="9.5703125" bestFit="1" customWidth="1"/>
    <col min="8461" max="8461" width="14" bestFit="1" customWidth="1"/>
    <col min="8705" max="8705" width="27" bestFit="1" customWidth="1"/>
    <col min="8706" max="8706" width="26.85546875" bestFit="1" customWidth="1"/>
    <col min="8707" max="8707" width="7.7109375" bestFit="1" customWidth="1"/>
    <col min="8708" max="8708" width="6.85546875" bestFit="1" customWidth="1"/>
    <col min="8709" max="8709" width="17.28515625" bestFit="1" customWidth="1"/>
    <col min="8710" max="8710" width="30.7109375" bestFit="1" customWidth="1"/>
    <col min="8711" max="8711" width="5.5703125" bestFit="1" customWidth="1"/>
    <col min="8712" max="8712" width="7.5703125" bestFit="1" customWidth="1"/>
    <col min="8713" max="8713" width="2.140625" bestFit="1" customWidth="1"/>
    <col min="8714" max="8714" width="4.85546875" bestFit="1" customWidth="1"/>
    <col min="8715" max="8715" width="6.7109375" bestFit="1" customWidth="1"/>
    <col min="8716" max="8716" width="9.5703125" bestFit="1" customWidth="1"/>
    <col min="8717" max="8717" width="14" bestFit="1" customWidth="1"/>
    <col min="8961" max="8961" width="27" bestFit="1" customWidth="1"/>
    <col min="8962" max="8962" width="26.85546875" bestFit="1" customWidth="1"/>
    <col min="8963" max="8963" width="7.7109375" bestFit="1" customWidth="1"/>
    <col min="8964" max="8964" width="6.85546875" bestFit="1" customWidth="1"/>
    <col min="8965" max="8965" width="17.28515625" bestFit="1" customWidth="1"/>
    <col min="8966" max="8966" width="30.7109375" bestFit="1" customWidth="1"/>
    <col min="8967" max="8967" width="5.5703125" bestFit="1" customWidth="1"/>
    <col min="8968" max="8968" width="7.5703125" bestFit="1" customWidth="1"/>
    <col min="8969" max="8969" width="2.140625" bestFit="1" customWidth="1"/>
    <col min="8970" max="8970" width="4.85546875" bestFit="1" customWidth="1"/>
    <col min="8971" max="8971" width="6.7109375" bestFit="1" customWidth="1"/>
    <col min="8972" max="8972" width="9.5703125" bestFit="1" customWidth="1"/>
    <col min="8973" max="8973" width="14" bestFit="1" customWidth="1"/>
    <col min="9217" max="9217" width="27" bestFit="1" customWidth="1"/>
    <col min="9218" max="9218" width="26.85546875" bestFit="1" customWidth="1"/>
    <col min="9219" max="9219" width="7.7109375" bestFit="1" customWidth="1"/>
    <col min="9220" max="9220" width="6.85546875" bestFit="1" customWidth="1"/>
    <col min="9221" max="9221" width="17.28515625" bestFit="1" customWidth="1"/>
    <col min="9222" max="9222" width="30.7109375" bestFit="1" customWidth="1"/>
    <col min="9223" max="9223" width="5.5703125" bestFit="1" customWidth="1"/>
    <col min="9224" max="9224" width="7.5703125" bestFit="1" customWidth="1"/>
    <col min="9225" max="9225" width="2.140625" bestFit="1" customWidth="1"/>
    <col min="9226" max="9226" width="4.85546875" bestFit="1" customWidth="1"/>
    <col min="9227" max="9227" width="6.7109375" bestFit="1" customWidth="1"/>
    <col min="9228" max="9228" width="9.5703125" bestFit="1" customWidth="1"/>
    <col min="9229" max="9229" width="14" bestFit="1" customWidth="1"/>
    <col min="9473" max="9473" width="27" bestFit="1" customWidth="1"/>
    <col min="9474" max="9474" width="26.85546875" bestFit="1" customWidth="1"/>
    <col min="9475" max="9475" width="7.7109375" bestFit="1" customWidth="1"/>
    <col min="9476" max="9476" width="6.85546875" bestFit="1" customWidth="1"/>
    <col min="9477" max="9477" width="17.28515625" bestFit="1" customWidth="1"/>
    <col min="9478" max="9478" width="30.7109375" bestFit="1" customWidth="1"/>
    <col min="9479" max="9479" width="5.5703125" bestFit="1" customWidth="1"/>
    <col min="9480" max="9480" width="7.5703125" bestFit="1" customWidth="1"/>
    <col min="9481" max="9481" width="2.140625" bestFit="1" customWidth="1"/>
    <col min="9482" max="9482" width="4.85546875" bestFit="1" customWidth="1"/>
    <col min="9483" max="9483" width="6.7109375" bestFit="1" customWidth="1"/>
    <col min="9484" max="9484" width="9.5703125" bestFit="1" customWidth="1"/>
    <col min="9485" max="9485" width="14" bestFit="1" customWidth="1"/>
    <col min="9729" max="9729" width="27" bestFit="1" customWidth="1"/>
    <col min="9730" max="9730" width="26.85546875" bestFit="1" customWidth="1"/>
    <col min="9731" max="9731" width="7.7109375" bestFit="1" customWidth="1"/>
    <col min="9732" max="9732" width="6.85546875" bestFit="1" customWidth="1"/>
    <col min="9733" max="9733" width="17.28515625" bestFit="1" customWidth="1"/>
    <col min="9734" max="9734" width="30.7109375" bestFit="1" customWidth="1"/>
    <col min="9735" max="9735" width="5.5703125" bestFit="1" customWidth="1"/>
    <col min="9736" max="9736" width="7.5703125" bestFit="1" customWidth="1"/>
    <col min="9737" max="9737" width="2.140625" bestFit="1" customWidth="1"/>
    <col min="9738" max="9738" width="4.85546875" bestFit="1" customWidth="1"/>
    <col min="9739" max="9739" width="6.7109375" bestFit="1" customWidth="1"/>
    <col min="9740" max="9740" width="9.5703125" bestFit="1" customWidth="1"/>
    <col min="9741" max="9741" width="14" bestFit="1" customWidth="1"/>
    <col min="9985" max="9985" width="27" bestFit="1" customWidth="1"/>
    <col min="9986" max="9986" width="26.85546875" bestFit="1" customWidth="1"/>
    <col min="9987" max="9987" width="7.7109375" bestFit="1" customWidth="1"/>
    <col min="9988" max="9988" width="6.85546875" bestFit="1" customWidth="1"/>
    <col min="9989" max="9989" width="17.28515625" bestFit="1" customWidth="1"/>
    <col min="9990" max="9990" width="30.7109375" bestFit="1" customWidth="1"/>
    <col min="9991" max="9991" width="5.5703125" bestFit="1" customWidth="1"/>
    <col min="9992" max="9992" width="7.5703125" bestFit="1" customWidth="1"/>
    <col min="9993" max="9993" width="2.140625" bestFit="1" customWidth="1"/>
    <col min="9994" max="9994" width="4.85546875" bestFit="1" customWidth="1"/>
    <col min="9995" max="9995" width="6.7109375" bestFit="1" customWidth="1"/>
    <col min="9996" max="9996" width="9.5703125" bestFit="1" customWidth="1"/>
    <col min="9997" max="9997" width="14" bestFit="1" customWidth="1"/>
    <col min="10241" max="10241" width="27" bestFit="1" customWidth="1"/>
    <col min="10242" max="10242" width="26.85546875" bestFit="1" customWidth="1"/>
    <col min="10243" max="10243" width="7.7109375" bestFit="1" customWidth="1"/>
    <col min="10244" max="10244" width="6.85546875" bestFit="1" customWidth="1"/>
    <col min="10245" max="10245" width="17.28515625" bestFit="1" customWidth="1"/>
    <col min="10246" max="10246" width="30.7109375" bestFit="1" customWidth="1"/>
    <col min="10247" max="10247" width="5.5703125" bestFit="1" customWidth="1"/>
    <col min="10248" max="10248" width="7.5703125" bestFit="1" customWidth="1"/>
    <col min="10249" max="10249" width="2.140625" bestFit="1" customWidth="1"/>
    <col min="10250" max="10250" width="4.85546875" bestFit="1" customWidth="1"/>
    <col min="10251" max="10251" width="6.7109375" bestFit="1" customWidth="1"/>
    <col min="10252" max="10252" width="9.5703125" bestFit="1" customWidth="1"/>
    <col min="10253" max="10253" width="14" bestFit="1" customWidth="1"/>
    <col min="10497" max="10497" width="27" bestFit="1" customWidth="1"/>
    <col min="10498" max="10498" width="26.85546875" bestFit="1" customWidth="1"/>
    <col min="10499" max="10499" width="7.7109375" bestFit="1" customWidth="1"/>
    <col min="10500" max="10500" width="6.85546875" bestFit="1" customWidth="1"/>
    <col min="10501" max="10501" width="17.28515625" bestFit="1" customWidth="1"/>
    <col min="10502" max="10502" width="30.7109375" bestFit="1" customWidth="1"/>
    <col min="10503" max="10503" width="5.5703125" bestFit="1" customWidth="1"/>
    <col min="10504" max="10504" width="7.5703125" bestFit="1" customWidth="1"/>
    <col min="10505" max="10505" width="2.140625" bestFit="1" customWidth="1"/>
    <col min="10506" max="10506" width="4.85546875" bestFit="1" customWidth="1"/>
    <col min="10507" max="10507" width="6.7109375" bestFit="1" customWidth="1"/>
    <col min="10508" max="10508" width="9.5703125" bestFit="1" customWidth="1"/>
    <col min="10509" max="10509" width="14" bestFit="1" customWidth="1"/>
    <col min="10753" max="10753" width="27" bestFit="1" customWidth="1"/>
    <col min="10754" max="10754" width="26.85546875" bestFit="1" customWidth="1"/>
    <col min="10755" max="10755" width="7.7109375" bestFit="1" customWidth="1"/>
    <col min="10756" max="10756" width="6.85546875" bestFit="1" customWidth="1"/>
    <col min="10757" max="10757" width="17.28515625" bestFit="1" customWidth="1"/>
    <col min="10758" max="10758" width="30.7109375" bestFit="1" customWidth="1"/>
    <col min="10759" max="10759" width="5.5703125" bestFit="1" customWidth="1"/>
    <col min="10760" max="10760" width="7.5703125" bestFit="1" customWidth="1"/>
    <col min="10761" max="10761" width="2.140625" bestFit="1" customWidth="1"/>
    <col min="10762" max="10762" width="4.85546875" bestFit="1" customWidth="1"/>
    <col min="10763" max="10763" width="6.7109375" bestFit="1" customWidth="1"/>
    <col min="10764" max="10764" width="9.5703125" bestFit="1" customWidth="1"/>
    <col min="10765" max="10765" width="14" bestFit="1" customWidth="1"/>
    <col min="11009" max="11009" width="27" bestFit="1" customWidth="1"/>
    <col min="11010" max="11010" width="26.85546875" bestFit="1" customWidth="1"/>
    <col min="11011" max="11011" width="7.7109375" bestFit="1" customWidth="1"/>
    <col min="11012" max="11012" width="6.85546875" bestFit="1" customWidth="1"/>
    <col min="11013" max="11013" width="17.28515625" bestFit="1" customWidth="1"/>
    <col min="11014" max="11014" width="30.7109375" bestFit="1" customWidth="1"/>
    <col min="11015" max="11015" width="5.5703125" bestFit="1" customWidth="1"/>
    <col min="11016" max="11016" width="7.5703125" bestFit="1" customWidth="1"/>
    <col min="11017" max="11017" width="2.140625" bestFit="1" customWidth="1"/>
    <col min="11018" max="11018" width="4.85546875" bestFit="1" customWidth="1"/>
    <col min="11019" max="11019" width="6.7109375" bestFit="1" customWidth="1"/>
    <col min="11020" max="11020" width="9.5703125" bestFit="1" customWidth="1"/>
    <col min="11021" max="11021" width="14" bestFit="1" customWidth="1"/>
    <col min="11265" max="11265" width="27" bestFit="1" customWidth="1"/>
    <col min="11266" max="11266" width="26.85546875" bestFit="1" customWidth="1"/>
    <col min="11267" max="11267" width="7.7109375" bestFit="1" customWidth="1"/>
    <col min="11268" max="11268" width="6.85546875" bestFit="1" customWidth="1"/>
    <col min="11269" max="11269" width="17.28515625" bestFit="1" customWidth="1"/>
    <col min="11270" max="11270" width="30.7109375" bestFit="1" customWidth="1"/>
    <col min="11271" max="11271" width="5.5703125" bestFit="1" customWidth="1"/>
    <col min="11272" max="11272" width="7.5703125" bestFit="1" customWidth="1"/>
    <col min="11273" max="11273" width="2.140625" bestFit="1" customWidth="1"/>
    <col min="11274" max="11274" width="4.85546875" bestFit="1" customWidth="1"/>
    <col min="11275" max="11275" width="6.7109375" bestFit="1" customWidth="1"/>
    <col min="11276" max="11276" width="9.5703125" bestFit="1" customWidth="1"/>
    <col min="11277" max="11277" width="14" bestFit="1" customWidth="1"/>
    <col min="11521" max="11521" width="27" bestFit="1" customWidth="1"/>
    <col min="11522" max="11522" width="26.85546875" bestFit="1" customWidth="1"/>
    <col min="11523" max="11523" width="7.7109375" bestFit="1" customWidth="1"/>
    <col min="11524" max="11524" width="6.85546875" bestFit="1" customWidth="1"/>
    <col min="11525" max="11525" width="17.28515625" bestFit="1" customWidth="1"/>
    <col min="11526" max="11526" width="30.7109375" bestFit="1" customWidth="1"/>
    <col min="11527" max="11527" width="5.5703125" bestFit="1" customWidth="1"/>
    <col min="11528" max="11528" width="7.5703125" bestFit="1" customWidth="1"/>
    <col min="11529" max="11529" width="2.140625" bestFit="1" customWidth="1"/>
    <col min="11530" max="11530" width="4.85546875" bestFit="1" customWidth="1"/>
    <col min="11531" max="11531" width="6.7109375" bestFit="1" customWidth="1"/>
    <col min="11532" max="11532" width="9.5703125" bestFit="1" customWidth="1"/>
    <col min="11533" max="11533" width="14" bestFit="1" customWidth="1"/>
    <col min="11777" max="11777" width="27" bestFit="1" customWidth="1"/>
    <col min="11778" max="11778" width="26.85546875" bestFit="1" customWidth="1"/>
    <col min="11779" max="11779" width="7.7109375" bestFit="1" customWidth="1"/>
    <col min="11780" max="11780" width="6.85546875" bestFit="1" customWidth="1"/>
    <col min="11781" max="11781" width="17.28515625" bestFit="1" customWidth="1"/>
    <col min="11782" max="11782" width="30.7109375" bestFit="1" customWidth="1"/>
    <col min="11783" max="11783" width="5.5703125" bestFit="1" customWidth="1"/>
    <col min="11784" max="11784" width="7.5703125" bestFit="1" customWidth="1"/>
    <col min="11785" max="11785" width="2.140625" bestFit="1" customWidth="1"/>
    <col min="11786" max="11786" width="4.85546875" bestFit="1" customWidth="1"/>
    <col min="11787" max="11787" width="6.7109375" bestFit="1" customWidth="1"/>
    <col min="11788" max="11788" width="9.5703125" bestFit="1" customWidth="1"/>
    <col min="11789" max="11789" width="14" bestFit="1" customWidth="1"/>
    <col min="12033" max="12033" width="27" bestFit="1" customWidth="1"/>
    <col min="12034" max="12034" width="26.85546875" bestFit="1" customWidth="1"/>
    <col min="12035" max="12035" width="7.7109375" bestFit="1" customWidth="1"/>
    <col min="12036" max="12036" width="6.85546875" bestFit="1" customWidth="1"/>
    <col min="12037" max="12037" width="17.28515625" bestFit="1" customWidth="1"/>
    <col min="12038" max="12038" width="30.7109375" bestFit="1" customWidth="1"/>
    <col min="12039" max="12039" width="5.5703125" bestFit="1" customWidth="1"/>
    <col min="12040" max="12040" width="7.5703125" bestFit="1" customWidth="1"/>
    <col min="12041" max="12041" width="2.140625" bestFit="1" customWidth="1"/>
    <col min="12042" max="12042" width="4.85546875" bestFit="1" customWidth="1"/>
    <col min="12043" max="12043" width="6.7109375" bestFit="1" customWidth="1"/>
    <col min="12044" max="12044" width="9.5703125" bestFit="1" customWidth="1"/>
    <col min="12045" max="12045" width="14" bestFit="1" customWidth="1"/>
    <col min="12289" max="12289" width="27" bestFit="1" customWidth="1"/>
    <col min="12290" max="12290" width="26.85546875" bestFit="1" customWidth="1"/>
    <col min="12291" max="12291" width="7.7109375" bestFit="1" customWidth="1"/>
    <col min="12292" max="12292" width="6.85546875" bestFit="1" customWidth="1"/>
    <col min="12293" max="12293" width="17.28515625" bestFit="1" customWidth="1"/>
    <col min="12294" max="12294" width="30.7109375" bestFit="1" customWidth="1"/>
    <col min="12295" max="12295" width="5.5703125" bestFit="1" customWidth="1"/>
    <col min="12296" max="12296" width="7.5703125" bestFit="1" customWidth="1"/>
    <col min="12297" max="12297" width="2.140625" bestFit="1" customWidth="1"/>
    <col min="12298" max="12298" width="4.85546875" bestFit="1" customWidth="1"/>
    <col min="12299" max="12299" width="6.7109375" bestFit="1" customWidth="1"/>
    <col min="12300" max="12300" width="9.5703125" bestFit="1" customWidth="1"/>
    <col min="12301" max="12301" width="14" bestFit="1" customWidth="1"/>
    <col min="12545" max="12545" width="27" bestFit="1" customWidth="1"/>
    <col min="12546" max="12546" width="26.85546875" bestFit="1" customWidth="1"/>
    <col min="12547" max="12547" width="7.7109375" bestFit="1" customWidth="1"/>
    <col min="12548" max="12548" width="6.85546875" bestFit="1" customWidth="1"/>
    <col min="12549" max="12549" width="17.28515625" bestFit="1" customWidth="1"/>
    <col min="12550" max="12550" width="30.7109375" bestFit="1" customWidth="1"/>
    <col min="12551" max="12551" width="5.5703125" bestFit="1" customWidth="1"/>
    <col min="12552" max="12552" width="7.5703125" bestFit="1" customWidth="1"/>
    <col min="12553" max="12553" width="2.140625" bestFit="1" customWidth="1"/>
    <col min="12554" max="12554" width="4.85546875" bestFit="1" customWidth="1"/>
    <col min="12555" max="12555" width="6.7109375" bestFit="1" customWidth="1"/>
    <col min="12556" max="12556" width="9.5703125" bestFit="1" customWidth="1"/>
    <col min="12557" max="12557" width="14" bestFit="1" customWidth="1"/>
    <col min="12801" max="12801" width="27" bestFit="1" customWidth="1"/>
    <col min="12802" max="12802" width="26.85546875" bestFit="1" customWidth="1"/>
    <col min="12803" max="12803" width="7.7109375" bestFit="1" customWidth="1"/>
    <col min="12804" max="12804" width="6.85546875" bestFit="1" customWidth="1"/>
    <col min="12805" max="12805" width="17.28515625" bestFit="1" customWidth="1"/>
    <col min="12806" max="12806" width="30.7109375" bestFit="1" customWidth="1"/>
    <col min="12807" max="12807" width="5.5703125" bestFit="1" customWidth="1"/>
    <col min="12808" max="12808" width="7.5703125" bestFit="1" customWidth="1"/>
    <col min="12809" max="12809" width="2.140625" bestFit="1" customWidth="1"/>
    <col min="12810" max="12810" width="4.85546875" bestFit="1" customWidth="1"/>
    <col min="12811" max="12811" width="6.7109375" bestFit="1" customWidth="1"/>
    <col min="12812" max="12812" width="9.5703125" bestFit="1" customWidth="1"/>
    <col min="12813" max="12813" width="14" bestFit="1" customWidth="1"/>
    <col min="13057" max="13057" width="27" bestFit="1" customWidth="1"/>
    <col min="13058" max="13058" width="26.85546875" bestFit="1" customWidth="1"/>
    <col min="13059" max="13059" width="7.7109375" bestFit="1" customWidth="1"/>
    <col min="13060" max="13060" width="6.85546875" bestFit="1" customWidth="1"/>
    <col min="13061" max="13061" width="17.28515625" bestFit="1" customWidth="1"/>
    <col min="13062" max="13062" width="30.7109375" bestFit="1" customWidth="1"/>
    <col min="13063" max="13063" width="5.5703125" bestFit="1" customWidth="1"/>
    <col min="13064" max="13064" width="7.5703125" bestFit="1" customWidth="1"/>
    <col min="13065" max="13065" width="2.140625" bestFit="1" customWidth="1"/>
    <col min="13066" max="13066" width="4.85546875" bestFit="1" customWidth="1"/>
    <col min="13067" max="13067" width="6.7109375" bestFit="1" customWidth="1"/>
    <col min="13068" max="13068" width="9.5703125" bestFit="1" customWidth="1"/>
    <col min="13069" max="13069" width="14" bestFit="1" customWidth="1"/>
    <col min="13313" max="13313" width="27" bestFit="1" customWidth="1"/>
    <col min="13314" max="13314" width="26.85546875" bestFit="1" customWidth="1"/>
    <col min="13315" max="13315" width="7.7109375" bestFit="1" customWidth="1"/>
    <col min="13316" max="13316" width="6.85546875" bestFit="1" customWidth="1"/>
    <col min="13317" max="13317" width="17.28515625" bestFit="1" customWidth="1"/>
    <col min="13318" max="13318" width="30.7109375" bestFit="1" customWidth="1"/>
    <col min="13319" max="13319" width="5.5703125" bestFit="1" customWidth="1"/>
    <col min="13320" max="13320" width="7.5703125" bestFit="1" customWidth="1"/>
    <col min="13321" max="13321" width="2.140625" bestFit="1" customWidth="1"/>
    <col min="13322" max="13322" width="4.85546875" bestFit="1" customWidth="1"/>
    <col min="13323" max="13323" width="6.7109375" bestFit="1" customWidth="1"/>
    <col min="13324" max="13324" width="9.5703125" bestFit="1" customWidth="1"/>
    <col min="13325" max="13325" width="14" bestFit="1" customWidth="1"/>
    <col min="13569" max="13569" width="27" bestFit="1" customWidth="1"/>
    <col min="13570" max="13570" width="26.85546875" bestFit="1" customWidth="1"/>
    <col min="13571" max="13571" width="7.7109375" bestFit="1" customWidth="1"/>
    <col min="13572" max="13572" width="6.85546875" bestFit="1" customWidth="1"/>
    <col min="13573" max="13573" width="17.28515625" bestFit="1" customWidth="1"/>
    <col min="13574" max="13574" width="30.7109375" bestFit="1" customWidth="1"/>
    <col min="13575" max="13575" width="5.5703125" bestFit="1" customWidth="1"/>
    <col min="13576" max="13576" width="7.5703125" bestFit="1" customWidth="1"/>
    <col min="13577" max="13577" width="2.140625" bestFit="1" customWidth="1"/>
    <col min="13578" max="13578" width="4.85546875" bestFit="1" customWidth="1"/>
    <col min="13579" max="13579" width="6.7109375" bestFit="1" customWidth="1"/>
    <col min="13580" max="13580" width="9.5703125" bestFit="1" customWidth="1"/>
    <col min="13581" max="13581" width="14" bestFit="1" customWidth="1"/>
    <col min="13825" max="13825" width="27" bestFit="1" customWidth="1"/>
    <col min="13826" max="13826" width="26.85546875" bestFit="1" customWidth="1"/>
    <col min="13827" max="13827" width="7.7109375" bestFit="1" customWidth="1"/>
    <col min="13828" max="13828" width="6.85546875" bestFit="1" customWidth="1"/>
    <col min="13829" max="13829" width="17.28515625" bestFit="1" customWidth="1"/>
    <col min="13830" max="13830" width="30.7109375" bestFit="1" customWidth="1"/>
    <col min="13831" max="13831" width="5.5703125" bestFit="1" customWidth="1"/>
    <col min="13832" max="13832" width="7.5703125" bestFit="1" customWidth="1"/>
    <col min="13833" max="13833" width="2.140625" bestFit="1" customWidth="1"/>
    <col min="13834" max="13834" width="4.85546875" bestFit="1" customWidth="1"/>
    <col min="13835" max="13835" width="6.7109375" bestFit="1" customWidth="1"/>
    <col min="13836" max="13836" width="9.5703125" bestFit="1" customWidth="1"/>
    <col min="13837" max="13837" width="14" bestFit="1" customWidth="1"/>
    <col min="14081" max="14081" width="27" bestFit="1" customWidth="1"/>
    <col min="14082" max="14082" width="26.85546875" bestFit="1" customWidth="1"/>
    <col min="14083" max="14083" width="7.7109375" bestFit="1" customWidth="1"/>
    <col min="14084" max="14084" width="6.85546875" bestFit="1" customWidth="1"/>
    <col min="14085" max="14085" width="17.28515625" bestFit="1" customWidth="1"/>
    <col min="14086" max="14086" width="30.7109375" bestFit="1" customWidth="1"/>
    <col min="14087" max="14087" width="5.5703125" bestFit="1" customWidth="1"/>
    <col min="14088" max="14088" width="7.5703125" bestFit="1" customWidth="1"/>
    <col min="14089" max="14089" width="2.140625" bestFit="1" customWidth="1"/>
    <col min="14090" max="14090" width="4.85546875" bestFit="1" customWidth="1"/>
    <col min="14091" max="14091" width="6.7109375" bestFit="1" customWidth="1"/>
    <col min="14092" max="14092" width="9.5703125" bestFit="1" customWidth="1"/>
    <col min="14093" max="14093" width="14" bestFit="1" customWidth="1"/>
    <col min="14337" max="14337" width="27" bestFit="1" customWidth="1"/>
    <col min="14338" max="14338" width="26.85546875" bestFit="1" customWidth="1"/>
    <col min="14339" max="14339" width="7.7109375" bestFit="1" customWidth="1"/>
    <col min="14340" max="14340" width="6.85546875" bestFit="1" customWidth="1"/>
    <col min="14341" max="14341" width="17.28515625" bestFit="1" customWidth="1"/>
    <col min="14342" max="14342" width="30.7109375" bestFit="1" customWidth="1"/>
    <col min="14343" max="14343" width="5.5703125" bestFit="1" customWidth="1"/>
    <col min="14344" max="14344" width="7.5703125" bestFit="1" customWidth="1"/>
    <col min="14345" max="14345" width="2.140625" bestFit="1" customWidth="1"/>
    <col min="14346" max="14346" width="4.85546875" bestFit="1" customWidth="1"/>
    <col min="14347" max="14347" width="6.7109375" bestFit="1" customWidth="1"/>
    <col min="14348" max="14348" width="9.5703125" bestFit="1" customWidth="1"/>
    <col min="14349" max="14349" width="14" bestFit="1" customWidth="1"/>
    <col min="14593" max="14593" width="27" bestFit="1" customWidth="1"/>
    <col min="14594" max="14594" width="26.85546875" bestFit="1" customWidth="1"/>
    <col min="14595" max="14595" width="7.7109375" bestFit="1" customWidth="1"/>
    <col min="14596" max="14596" width="6.85546875" bestFit="1" customWidth="1"/>
    <col min="14597" max="14597" width="17.28515625" bestFit="1" customWidth="1"/>
    <col min="14598" max="14598" width="30.7109375" bestFit="1" customWidth="1"/>
    <col min="14599" max="14599" width="5.5703125" bestFit="1" customWidth="1"/>
    <col min="14600" max="14600" width="7.5703125" bestFit="1" customWidth="1"/>
    <col min="14601" max="14601" width="2.140625" bestFit="1" customWidth="1"/>
    <col min="14602" max="14602" width="4.85546875" bestFit="1" customWidth="1"/>
    <col min="14603" max="14603" width="6.7109375" bestFit="1" customWidth="1"/>
    <col min="14604" max="14604" width="9.5703125" bestFit="1" customWidth="1"/>
    <col min="14605" max="14605" width="14" bestFit="1" customWidth="1"/>
    <col min="14849" max="14849" width="27" bestFit="1" customWidth="1"/>
    <col min="14850" max="14850" width="26.85546875" bestFit="1" customWidth="1"/>
    <col min="14851" max="14851" width="7.7109375" bestFit="1" customWidth="1"/>
    <col min="14852" max="14852" width="6.85546875" bestFit="1" customWidth="1"/>
    <col min="14853" max="14853" width="17.28515625" bestFit="1" customWidth="1"/>
    <col min="14854" max="14854" width="30.7109375" bestFit="1" customWidth="1"/>
    <col min="14855" max="14855" width="5.5703125" bestFit="1" customWidth="1"/>
    <col min="14856" max="14856" width="7.5703125" bestFit="1" customWidth="1"/>
    <col min="14857" max="14857" width="2.140625" bestFit="1" customWidth="1"/>
    <col min="14858" max="14858" width="4.85546875" bestFit="1" customWidth="1"/>
    <col min="14859" max="14859" width="6.7109375" bestFit="1" customWidth="1"/>
    <col min="14860" max="14860" width="9.5703125" bestFit="1" customWidth="1"/>
    <col min="14861" max="14861" width="14" bestFit="1" customWidth="1"/>
    <col min="15105" max="15105" width="27" bestFit="1" customWidth="1"/>
    <col min="15106" max="15106" width="26.85546875" bestFit="1" customWidth="1"/>
    <col min="15107" max="15107" width="7.7109375" bestFit="1" customWidth="1"/>
    <col min="15108" max="15108" width="6.85546875" bestFit="1" customWidth="1"/>
    <col min="15109" max="15109" width="17.28515625" bestFit="1" customWidth="1"/>
    <col min="15110" max="15110" width="30.7109375" bestFit="1" customWidth="1"/>
    <col min="15111" max="15111" width="5.5703125" bestFit="1" customWidth="1"/>
    <col min="15112" max="15112" width="7.5703125" bestFit="1" customWidth="1"/>
    <col min="15113" max="15113" width="2.140625" bestFit="1" customWidth="1"/>
    <col min="15114" max="15114" width="4.85546875" bestFit="1" customWidth="1"/>
    <col min="15115" max="15115" width="6.7109375" bestFit="1" customWidth="1"/>
    <col min="15116" max="15116" width="9.5703125" bestFit="1" customWidth="1"/>
    <col min="15117" max="15117" width="14" bestFit="1" customWidth="1"/>
    <col min="15361" max="15361" width="27" bestFit="1" customWidth="1"/>
    <col min="15362" max="15362" width="26.85546875" bestFit="1" customWidth="1"/>
    <col min="15363" max="15363" width="7.7109375" bestFit="1" customWidth="1"/>
    <col min="15364" max="15364" width="6.85546875" bestFit="1" customWidth="1"/>
    <col min="15365" max="15365" width="17.28515625" bestFit="1" customWidth="1"/>
    <col min="15366" max="15366" width="30.7109375" bestFit="1" customWidth="1"/>
    <col min="15367" max="15367" width="5.5703125" bestFit="1" customWidth="1"/>
    <col min="15368" max="15368" width="7.5703125" bestFit="1" customWidth="1"/>
    <col min="15369" max="15369" width="2.140625" bestFit="1" customWidth="1"/>
    <col min="15370" max="15370" width="4.85546875" bestFit="1" customWidth="1"/>
    <col min="15371" max="15371" width="6.7109375" bestFit="1" customWidth="1"/>
    <col min="15372" max="15372" width="9.5703125" bestFit="1" customWidth="1"/>
    <col min="15373" max="15373" width="14" bestFit="1" customWidth="1"/>
    <col min="15617" max="15617" width="27" bestFit="1" customWidth="1"/>
    <col min="15618" max="15618" width="26.85546875" bestFit="1" customWidth="1"/>
    <col min="15619" max="15619" width="7.7109375" bestFit="1" customWidth="1"/>
    <col min="15620" max="15620" width="6.85546875" bestFit="1" customWidth="1"/>
    <col min="15621" max="15621" width="17.28515625" bestFit="1" customWidth="1"/>
    <col min="15622" max="15622" width="30.7109375" bestFit="1" customWidth="1"/>
    <col min="15623" max="15623" width="5.5703125" bestFit="1" customWidth="1"/>
    <col min="15624" max="15624" width="7.5703125" bestFit="1" customWidth="1"/>
    <col min="15625" max="15625" width="2.140625" bestFit="1" customWidth="1"/>
    <col min="15626" max="15626" width="4.85546875" bestFit="1" customWidth="1"/>
    <col min="15627" max="15627" width="6.7109375" bestFit="1" customWidth="1"/>
    <col min="15628" max="15628" width="9.5703125" bestFit="1" customWidth="1"/>
    <col min="15629" max="15629" width="14" bestFit="1" customWidth="1"/>
    <col min="15873" max="15873" width="27" bestFit="1" customWidth="1"/>
    <col min="15874" max="15874" width="26.85546875" bestFit="1" customWidth="1"/>
    <col min="15875" max="15875" width="7.7109375" bestFit="1" customWidth="1"/>
    <col min="15876" max="15876" width="6.85546875" bestFit="1" customWidth="1"/>
    <col min="15877" max="15877" width="17.28515625" bestFit="1" customWidth="1"/>
    <col min="15878" max="15878" width="30.7109375" bestFit="1" customWidth="1"/>
    <col min="15879" max="15879" width="5.5703125" bestFit="1" customWidth="1"/>
    <col min="15880" max="15880" width="7.5703125" bestFit="1" customWidth="1"/>
    <col min="15881" max="15881" width="2.140625" bestFit="1" customWidth="1"/>
    <col min="15882" max="15882" width="4.85546875" bestFit="1" customWidth="1"/>
    <col min="15883" max="15883" width="6.7109375" bestFit="1" customWidth="1"/>
    <col min="15884" max="15884" width="9.5703125" bestFit="1" customWidth="1"/>
    <col min="15885" max="15885" width="14" bestFit="1" customWidth="1"/>
    <col min="16129" max="16129" width="27" bestFit="1" customWidth="1"/>
    <col min="16130" max="16130" width="26.85546875" bestFit="1" customWidth="1"/>
    <col min="16131" max="16131" width="7.7109375" bestFit="1" customWidth="1"/>
    <col min="16132" max="16132" width="6.85546875" bestFit="1" customWidth="1"/>
    <col min="16133" max="16133" width="17.28515625" bestFit="1" customWidth="1"/>
    <col min="16134" max="16134" width="30.7109375" bestFit="1" customWidth="1"/>
    <col min="16135" max="16135" width="5.5703125" bestFit="1" customWidth="1"/>
    <col min="16136" max="16136" width="7.5703125" bestFit="1" customWidth="1"/>
    <col min="16137" max="16137" width="2.140625" bestFit="1" customWidth="1"/>
    <col min="16138" max="16138" width="4.85546875" bestFit="1" customWidth="1"/>
    <col min="16139" max="16139" width="6.7109375" bestFit="1" customWidth="1"/>
    <col min="16140" max="16140" width="9.5703125" bestFit="1" customWidth="1"/>
    <col min="16141" max="16141" width="14" bestFit="1" customWidth="1"/>
  </cols>
  <sheetData>
    <row r="1" spans="1:13" s="1" customFormat="1" ht="15" customHeight="1">
      <c r="A1" s="53" t="s">
        <v>862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1" customFormat="1" ht="13.5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7" customFormat="1" ht="12.75" customHeight="1">
      <c r="A3" s="59" t="s">
        <v>0</v>
      </c>
      <c r="B3" s="61" t="s">
        <v>863</v>
      </c>
      <c r="C3" s="61" t="s">
        <v>11</v>
      </c>
      <c r="D3" s="63" t="s">
        <v>1</v>
      </c>
      <c r="E3" s="63" t="s">
        <v>2</v>
      </c>
      <c r="F3" s="64" t="s">
        <v>3</v>
      </c>
      <c r="G3" s="63" t="s">
        <v>5</v>
      </c>
      <c r="H3" s="63"/>
      <c r="I3" s="63"/>
      <c r="J3" s="63"/>
      <c r="K3" s="63" t="s">
        <v>7</v>
      </c>
      <c r="L3" s="63" t="s">
        <v>9</v>
      </c>
      <c r="M3" s="66" t="s">
        <v>8</v>
      </c>
    </row>
    <row r="4" spans="1:13" s="7" customFormat="1" ht="23.25" customHeight="1" thickBot="1">
      <c r="A4" s="60"/>
      <c r="B4" s="62"/>
      <c r="C4" s="62"/>
      <c r="D4" s="62"/>
      <c r="E4" s="62"/>
      <c r="F4" s="65"/>
      <c r="G4" s="2" t="s">
        <v>864</v>
      </c>
      <c r="H4" s="2" t="s">
        <v>865</v>
      </c>
      <c r="I4" s="2">
        <v>3</v>
      </c>
      <c r="J4" s="4" t="s">
        <v>10</v>
      </c>
      <c r="K4" s="62"/>
      <c r="L4" s="62"/>
      <c r="M4" s="69"/>
    </row>
    <row r="5" spans="1:13" ht="15">
      <c r="A5" s="70" t="s">
        <v>13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3">
      <c r="A6" s="45" t="s">
        <v>866</v>
      </c>
      <c r="B6" s="45" t="s">
        <v>867</v>
      </c>
      <c r="C6" s="45" t="s">
        <v>868</v>
      </c>
      <c r="D6" s="45" t="str">
        <f>"0,7262"</f>
        <v>0,7262</v>
      </c>
      <c r="E6" s="45" t="s">
        <v>17</v>
      </c>
      <c r="F6" s="45" t="s">
        <v>869</v>
      </c>
      <c r="G6" s="45" t="s">
        <v>22</v>
      </c>
      <c r="H6" s="45" t="s">
        <v>870</v>
      </c>
      <c r="I6" s="46"/>
      <c r="J6" s="46"/>
      <c r="K6" s="45">
        <v>2170</v>
      </c>
      <c r="L6" s="45" t="str">
        <f>"1575,9625"</f>
        <v>1575,9625</v>
      </c>
      <c r="M6" s="45" t="s">
        <v>871</v>
      </c>
    </row>
    <row r="7" spans="1:13">
      <c r="A7" s="49" t="s">
        <v>872</v>
      </c>
      <c r="B7" s="49" t="s">
        <v>873</v>
      </c>
      <c r="C7" s="49" t="s">
        <v>874</v>
      </c>
      <c r="D7" s="49" t="str">
        <f>"0,7149"</f>
        <v>0,7149</v>
      </c>
      <c r="E7" s="49" t="s">
        <v>17</v>
      </c>
      <c r="F7" s="49" t="s">
        <v>875</v>
      </c>
      <c r="G7" s="49" t="s">
        <v>423</v>
      </c>
      <c r="H7" s="49" t="s">
        <v>162</v>
      </c>
      <c r="I7" s="50"/>
      <c r="J7" s="50"/>
      <c r="K7" s="49">
        <v>4350</v>
      </c>
      <c r="L7" s="49" t="str">
        <f>"3109,5975"</f>
        <v>3109,5975</v>
      </c>
      <c r="M7" s="49"/>
    </row>
    <row r="8" spans="1:13">
      <c r="A8" s="49" t="s">
        <v>876</v>
      </c>
      <c r="B8" s="49" t="s">
        <v>877</v>
      </c>
      <c r="C8" s="49" t="s">
        <v>878</v>
      </c>
      <c r="D8" s="49" t="str">
        <f>"0,7110"</f>
        <v>0,7110</v>
      </c>
      <c r="E8" s="49" t="s">
        <v>17</v>
      </c>
      <c r="F8" s="49" t="s">
        <v>879</v>
      </c>
      <c r="G8" s="49" t="s">
        <v>423</v>
      </c>
      <c r="H8" s="49" t="s">
        <v>880</v>
      </c>
      <c r="I8" s="50"/>
      <c r="J8" s="50"/>
      <c r="K8" s="49">
        <v>3335</v>
      </c>
      <c r="L8" s="49" t="str">
        <f>"2371,0183"</f>
        <v>2371,0183</v>
      </c>
      <c r="M8" s="49"/>
    </row>
    <row r="9" spans="1:13">
      <c r="A9" s="49" t="s">
        <v>881</v>
      </c>
      <c r="B9" s="49" t="s">
        <v>882</v>
      </c>
      <c r="C9" s="49" t="s">
        <v>883</v>
      </c>
      <c r="D9" s="49" t="str">
        <f>"0,7393"</f>
        <v>0,7393</v>
      </c>
      <c r="E9" s="49" t="s">
        <v>17</v>
      </c>
      <c r="F9" s="49" t="s">
        <v>884</v>
      </c>
      <c r="G9" s="49" t="s">
        <v>22</v>
      </c>
      <c r="H9" s="49" t="s">
        <v>885</v>
      </c>
      <c r="I9" s="50"/>
      <c r="J9" s="50"/>
      <c r="K9" s="49">
        <v>2870</v>
      </c>
      <c r="L9" s="49" t="str">
        <f>"2121,6475"</f>
        <v>2121,6475</v>
      </c>
      <c r="M9" s="49"/>
    </row>
    <row r="10" spans="1:13">
      <c r="A10" s="47" t="s">
        <v>886</v>
      </c>
      <c r="B10" s="47" t="s">
        <v>887</v>
      </c>
      <c r="C10" s="47" t="s">
        <v>674</v>
      </c>
      <c r="D10" s="47" t="str">
        <f>"0,7182"</f>
        <v>0,7182</v>
      </c>
      <c r="E10" s="47" t="s">
        <v>589</v>
      </c>
      <c r="F10" s="47" t="s">
        <v>148</v>
      </c>
      <c r="G10" s="47" t="s">
        <v>19</v>
      </c>
      <c r="H10" s="47" t="s">
        <v>888</v>
      </c>
      <c r="I10" s="48"/>
      <c r="J10" s="48"/>
      <c r="K10" s="47">
        <v>2250</v>
      </c>
      <c r="L10" s="47" t="str">
        <f>"1615,8547"</f>
        <v>1615,8547</v>
      </c>
      <c r="M10" s="47"/>
    </row>
    <row r="12" spans="1:13" ht="15">
      <c r="A12" s="52" t="s">
        <v>139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3">
      <c r="A13" s="35" t="s">
        <v>889</v>
      </c>
      <c r="B13" s="35" t="s">
        <v>890</v>
      </c>
      <c r="C13" s="35" t="s">
        <v>891</v>
      </c>
      <c r="D13" s="35" t="str">
        <f>"0,6606"</f>
        <v>0,6606</v>
      </c>
      <c r="E13" s="35" t="s">
        <v>17</v>
      </c>
      <c r="F13" s="35" t="s">
        <v>148</v>
      </c>
      <c r="G13" s="35" t="s">
        <v>186</v>
      </c>
      <c r="H13" s="35" t="s">
        <v>892</v>
      </c>
      <c r="I13" s="36"/>
      <c r="J13" s="36"/>
      <c r="K13" s="35">
        <v>1600</v>
      </c>
      <c r="L13" s="35" t="str">
        <f>"1056,9600"</f>
        <v>1056,9600</v>
      </c>
      <c r="M13" s="35"/>
    </row>
    <row r="15" spans="1:13" ht="15">
      <c r="A15" s="52" t="s">
        <v>53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3">
      <c r="A16" s="45" t="s">
        <v>893</v>
      </c>
      <c r="B16" s="45" t="s">
        <v>894</v>
      </c>
      <c r="C16" s="45" t="s">
        <v>895</v>
      </c>
      <c r="D16" s="45" t="str">
        <f>"0,6093"</f>
        <v>0,6093</v>
      </c>
      <c r="E16" s="45" t="s">
        <v>427</v>
      </c>
      <c r="F16" s="45" t="s">
        <v>148</v>
      </c>
      <c r="G16" s="45" t="s">
        <v>177</v>
      </c>
      <c r="H16" s="45" t="s">
        <v>896</v>
      </c>
      <c r="I16" s="46"/>
      <c r="J16" s="46"/>
      <c r="K16" s="45">
        <v>3422.5</v>
      </c>
      <c r="L16" s="45" t="str">
        <f>"2085,3293"</f>
        <v>2085,3293</v>
      </c>
      <c r="M16" s="45"/>
    </row>
    <row r="17" spans="1:13">
      <c r="A17" s="49" t="s">
        <v>897</v>
      </c>
      <c r="B17" s="49" t="s">
        <v>898</v>
      </c>
      <c r="C17" s="49" t="s">
        <v>899</v>
      </c>
      <c r="D17" s="49" t="str">
        <f>"0,6097"</f>
        <v>0,6097</v>
      </c>
      <c r="E17" s="49" t="s">
        <v>201</v>
      </c>
      <c r="F17" s="49" t="s">
        <v>311</v>
      </c>
      <c r="G17" s="49" t="s">
        <v>177</v>
      </c>
      <c r="H17" s="49" t="s">
        <v>900</v>
      </c>
      <c r="I17" s="50"/>
      <c r="J17" s="50"/>
      <c r="K17" s="49">
        <v>3515</v>
      </c>
      <c r="L17" s="49" t="str">
        <f>"2143,0480"</f>
        <v>2143,0480</v>
      </c>
      <c r="M17" s="49"/>
    </row>
    <row r="18" spans="1:13">
      <c r="A18" s="47" t="s">
        <v>901</v>
      </c>
      <c r="B18" s="47" t="s">
        <v>902</v>
      </c>
      <c r="C18" s="47" t="s">
        <v>903</v>
      </c>
      <c r="D18" s="47" t="str">
        <f>"0,6747"</f>
        <v>0,6747</v>
      </c>
      <c r="E18" s="47" t="s">
        <v>17</v>
      </c>
      <c r="F18" s="47" t="s">
        <v>477</v>
      </c>
      <c r="G18" s="47" t="s">
        <v>904</v>
      </c>
      <c r="H18" s="47" t="s">
        <v>905</v>
      </c>
      <c r="I18" s="48"/>
      <c r="J18" s="48"/>
      <c r="K18" s="47">
        <v>4387.5</v>
      </c>
      <c r="L18" s="47" t="str">
        <f>"2960,3460"</f>
        <v>2960,3460</v>
      </c>
      <c r="M18" s="47"/>
    </row>
    <row r="20" spans="1:13" ht="15">
      <c r="A20" s="52" t="s">
        <v>84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</row>
    <row r="21" spans="1:13">
      <c r="A21" s="35" t="s">
        <v>906</v>
      </c>
      <c r="B21" s="35" t="s">
        <v>907</v>
      </c>
      <c r="C21" s="35" t="s">
        <v>908</v>
      </c>
      <c r="D21" s="35" t="str">
        <f>"0,5738"</f>
        <v>0,5738</v>
      </c>
      <c r="E21" s="35" t="s">
        <v>454</v>
      </c>
      <c r="F21" s="35" t="s">
        <v>148</v>
      </c>
      <c r="G21" s="35" t="s">
        <v>324</v>
      </c>
      <c r="H21" s="35" t="s">
        <v>909</v>
      </c>
      <c r="I21" s="36"/>
      <c r="J21" s="36"/>
      <c r="K21" s="35">
        <v>2520</v>
      </c>
      <c r="L21" s="35" t="str">
        <f>"1445,9761"</f>
        <v>1445,9761</v>
      </c>
      <c r="M21" s="35"/>
    </row>
    <row r="23" spans="1:13" ht="15">
      <c r="A23" s="52" t="s">
        <v>263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3">
      <c r="A24" s="35" t="s">
        <v>910</v>
      </c>
      <c r="B24" s="35" t="s">
        <v>911</v>
      </c>
      <c r="C24" s="35" t="s">
        <v>912</v>
      </c>
      <c r="D24" s="35" t="str">
        <f>"0,7233"</f>
        <v>0,7233</v>
      </c>
      <c r="E24" s="35" t="s">
        <v>17</v>
      </c>
      <c r="F24" s="35" t="s">
        <v>237</v>
      </c>
      <c r="G24" s="35" t="s">
        <v>345</v>
      </c>
      <c r="H24" s="35" t="s">
        <v>913</v>
      </c>
      <c r="I24" s="36"/>
      <c r="J24" s="36"/>
      <c r="K24" s="35">
        <v>2082.5</v>
      </c>
      <c r="L24" s="35" t="str">
        <f>"1506,1682"</f>
        <v>1506,1682</v>
      </c>
      <c r="M24" s="35"/>
    </row>
    <row r="26" spans="1:13" ht="15">
      <c r="A26" s="52" t="s">
        <v>270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spans="1:13">
      <c r="A27" s="35" t="s">
        <v>914</v>
      </c>
      <c r="B27" s="35" t="s">
        <v>915</v>
      </c>
      <c r="C27" s="35" t="s">
        <v>916</v>
      </c>
      <c r="D27" s="35" t="str">
        <f>"0,5334"</f>
        <v>0,5334</v>
      </c>
      <c r="E27" s="35" t="s">
        <v>17</v>
      </c>
      <c r="F27" s="35" t="s">
        <v>148</v>
      </c>
      <c r="G27" s="35" t="s">
        <v>243</v>
      </c>
      <c r="H27" s="35" t="s">
        <v>917</v>
      </c>
      <c r="I27" s="36"/>
      <c r="J27" s="36"/>
      <c r="K27" s="35">
        <v>2887.5</v>
      </c>
      <c r="L27" s="35" t="str">
        <f>"1540,1925"</f>
        <v>1540,1925</v>
      </c>
      <c r="M27" s="35"/>
    </row>
    <row r="29" spans="1:13" ht="15">
      <c r="E29" s="37" t="s">
        <v>93</v>
      </c>
    </row>
    <row r="30" spans="1:13" ht="15">
      <c r="E30" s="37" t="s">
        <v>94</v>
      </c>
    </row>
    <row r="31" spans="1:13" ht="15">
      <c r="E31" s="37" t="s">
        <v>95</v>
      </c>
    </row>
    <row r="32" spans="1:13">
      <c r="E32" s="34" t="s">
        <v>96</v>
      </c>
    </row>
    <row r="33" spans="1:5">
      <c r="E33" s="34" t="s">
        <v>97</v>
      </c>
    </row>
    <row r="34" spans="1:5">
      <c r="E34" s="34" t="s">
        <v>98</v>
      </c>
    </row>
    <row r="37" spans="1:5" ht="18">
      <c r="A37" s="38" t="s">
        <v>99</v>
      </c>
      <c r="B37" s="38"/>
    </row>
    <row r="38" spans="1:5" ht="15">
      <c r="A38" s="39" t="s">
        <v>109</v>
      </c>
      <c r="B38" s="39"/>
    </row>
    <row r="39" spans="1:5" ht="14.25">
      <c r="A39" s="41" t="s">
        <v>276</v>
      </c>
      <c r="B39" s="42"/>
    </row>
    <row r="40" spans="1:5" ht="15">
      <c r="A40" s="43" t="s">
        <v>0</v>
      </c>
      <c r="B40" s="43" t="s">
        <v>102</v>
      </c>
      <c r="C40" s="43" t="s">
        <v>103</v>
      </c>
      <c r="D40" s="43" t="s">
        <v>7</v>
      </c>
      <c r="E40" s="43" t="s">
        <v>104</v>
      </c>
    </row>
    <row r="41" spans="1:5">
      <c r="A41" s="40" t="s">
        <v>866</v>
      </c>
      <c r="B41" s="34" t="s">
        <v>277</v>
      </c>
      <c r="C41" s="34" t="s">
        <v>106</v>
      </c>
      <c r="D41" s="34" t="s">
        <v>918</v>
      </c>
      <c r="E41" s="44" t="s">
        <v>919</v>
      </c>
    </row>
    <row r="43" spans="1:5" ht="14.25">
      <c r="A43" s="41" t="s">
        <v>110</v>
      </c>
      <c r="B43" s="42"/>
    </row>
    <row r="44" spans="1:5" ht="15">
      <c r="A44" s="43" t="s">
        <v>0</v>
      </c>
      <c r="B44" s="43" t="s">
        <v>102</v>
      </c>
      <c r="C44" s="43" t="s">
        <v>103</v>
      </c>
      <c r="D44" s="43" t="s">
        <v>7</v>
      </c>
      <c r="E44" s="43" t="s">
        <v>104</v>
      </c>
    </row>
    <row r="45" spans="1:5">
      <c r="A45" s="40" t="s">
        <v>872</v>
      </c>
      <c r="B45" s="34" t="s">
        <v>110</v>
      </c>
      <c r="C45" s="34" t="s">
        <v>106</v>
      </c>
      <c r="D45" s="34" t="s">
        <v>920</v>
      </c>
      <c r="E45" s="44" t="s">
        <v>921</v>
      </c>
    </row>
    <row r="46" spans="1:5">
      <c r="A46" s="40" t="s">
        <v>876</v>
      </c>
      <c r="B46" s="34" t="s">
        <v>110</v>
      </c>
      <c r="C46" s="34" t="s">
        <v>106</v>
      </c>
      <c r="D46" s="34" t="s">
        <v>922</v>
      </c>
      <c r="E46" s="44" t="s">
        <v>923</v>
      </c>
    </row>
    <row r="47" spans="1:5">
      <c r="A47" s="40" t="s">
        <v>881</v>
      </c>
      <c r="B47" s="34" t="s">
        <v>110</v>
      </c>
      <c r="C47" s="34" t="s">
        <v>106</v>
      </c>
      <c r="D47" s="34" t="s">
        <v>924</v>
      </c>
      <c r="E47" s="44" t="s">
        <v>925</v>
      </c>
    </row>
    <row r="48" spans="1:5">
      <c r="A48" s="40" t="s">
        <v>893</v>
      </c>
      <c r="B48" s="34" t="s">
        <v>110</v>
      </c>
      <c r="C48" s="34" t="s">
        <v>114</v>
      </c>
      <c r="D48" s="34" t="s">
        <v>926</v>
      </c>
      <c r="E48" s="44" t="s">
        <v>927</v>
      </c>
    </row>
    <row r="49" spans="1:5">
      <c r="A49" s="40" t="s">
        <v>914</v>
      </c>
      <c r="B49" s="34" t="s">
        <v>110</v>
      </c>
      <c r="C49" s="34" t="s">
        <v>293</v>
      </c>
      <c r="D49" s="34" t="s">
        <v>928</v>
      </c>
      <c r="E49" s="44" t="s">
        <v>929</v>
      </c>
    </row>
    <row r="50" spans="1:5">
      <c r="A50" s="40" t="s">
        <v>889</v>
      </c>
      <c r="B50" s="34" t="s">
        <v>110</v>
      </c>
      <c r="C50" s="34" t="s">
        <v>151</v>
      </c>
      <c r="D50" s="34" t="s">
        <v>930</v>
      </c>
      <c r="E50" s="44" t="s">
        <v>931</v>
      </c>
    </row>
    <row r="52" spans="1:5" ht="14.25">
      <c r="A52" s="41" t="s">
        <v>101</v>
      </c>
      <c r="B52" s="42"/>
    </row>
    <row r="53" spans="1:5" ht="15">
      <c r="A53" s="43" t="s">
        <v>0</v>
      </c>
      <c r="B53" s="43" t="s">
        <v>102</v>
      </c>
      <c r="C53" s="43" t="s">
        <v>103</v>
      </c>
      <c r="D53" s="43" t="s">
        <v>7</v>
      </c>
      <c r="E53" s="43" t="s">
        <v>104</v>
      </c>
    </row>
    <row r="54" spans="1:5">
      <c r="A54" s="40" t="s">
        <v>901</v>
      </c>
      <c r="B54" s="34" t="s">
        <v>611</v>
      </c>
      <c r="C54" s="34" t="s">
        <v>114</v>
      </c>
      <c r="D54" s="34" t="s">
        <v>932</v>
      </c>
      <c r="E54" s="44" t="s">
        <v>933</v>
      </c>
    </row>
    <row r="55" spans="1:5">
      <c r="A55" s="40" t="s">
        <v>897</v>
      </c>
      <c r="B55" s="34" t="s">
        <v>305</v>
      </c>
      <c r="C55" s="34" t="s">
        <v>114</v>
      </c>
      <c r="D55" s="34" t="s">
        <v>934</v>
      </c>
      <c r="E55" s="44" t="s">
        <v>935</v>
      </c>
    </row>
    <row r="56" spans="1:5">
      <c r="A56" s="40" t="s">
        <v>886</v>
      </c>
      <c r="B56" s="34" t="s">
        <v>305</v>
      </c>
      <c r="C56" s="34" t="s">
        <v>106</v>
      </c>
      <c r="D56" s="34" t="s">
        <v>936</v>
      </c>
      <c r="E56" s="44" t="s">
        <v>937</v>
      </c>
    </row>
    <row r="57" spans="1:5">
      <c r="A57" s="40" t="s">
        <v>910</v>
      </c>
      <c r="B57" s="34" t="s">
        <v>300</v>
      </c>
      <c r="C57" s="34" t="s">
        <v>625</v>
      </c>
      <c r="D57" s="34" t="s">
        <v>938</v>
      </c>
      <c r="E57" s="44" t="s">
        <v>939</v>
      </c>
    </row>
    <row r="58" spans="1:5">
      <c r="A58" s="40" t="s">
        <v>906</v>
      </c>
      <c r="B58" s="34" t="s">
        <v>305</v>
      </c>
      <c r="C58" s="34" t="s">
        <v>111</v>
      </c>
      <c r="D58" s="34" t="s">
        <v>940</v>
      </c>
      <c r="E58" s="44" t="s">
        <v>941</v>
      </c>
    </row>
  </sheetData>
  <mergeCells count="17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A26:L26"/>
    <mergeCell ref="M3:M4"/>
    <mergeCell ref="A5:L5"/>
    <mergeCell ref="A12:L12"/>
    <mergeCell ref="A15:L15"/>
    <mergeCell ref="A20:L20"/>
    <mergeCell ref="A23:L2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61"/>
  <sheetViews>
    <sheetView workbookViewId="0">
      <selection activeCell="F13" sqref="F13"/>
    </sheetView>
  </sheetViews>
  <sheetFormatPr defaultRowHeight="12.75"/>
  <cols>
    <col min="1" max="1" width="27" style="34" bestFit="1" customWidth="1"/>
    <col min="2" max="2" width="26.85546875" style="34" bestFit="1" customWidth="1"/>
    <col min="3" max="3" width="7.7109375" style="34" bestFit="1" customWidth="1"/>
    <col min="4" max="4" width="6.85546875" style="34" bestFit="1" customWidth="1"/>
    <col min="5" max="5" width="17.28515625" style="34" bestFit="1" customWidth="1"/>
    <col min="6" max="6" width="35.28515625" style="34" bestFit="1" customWidth="1"/>
    <col min="7" max="9" width="5.5703125" style="34" bestFit="1" customWidth="1"/>
    <col min="10" max="10" width="4.85546875" style="34" bestFit="1" customWidth="1"/>
    <col min="11" max="11" width="6.7109375" style="34" bestFit="1" customWidth="1"/>
    <col min="12" max="12" width="8.5703125" style="34" bestFit="1" customWidth="1"/>
    <col min="13" max="13" width="19.140625" style="34" bestFit="1" customWidth="1"/>
  </cols>
  <sheetData>
    <row r="1" spans="1:13" s="1" customFormat="1" ht="15" customHeight="1">
      <c r="A1" s="53" t="s">
        <v>860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1" customFormat="1" ht="13.5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7" customFormat="1" ht="12.75" customHeight="1">
      <c r="A3" s="59" t="s">
        <v>0</v>
      </c>
      <c r="B3" s="61" t="s">
        <v>12</v>
      </c>
      <c r="C3" s="61" t="s">
        <v>11</v>
      </c>
      <c r="D3" s="63" t="s">
        <v>1</v>
      </c>
      <c r="E3" s="63" t="s">
        <v>2</v>
      </c>
      <c r="F3" s="64" t="s">
        <v>3</v>
      </c>
      <c r="G3" s="59" t="s">
        <v>6</v>
      </c>
      <c r="H3" s="63"/>
      <c r="I3" s="63"/>
      <c r="J3" s="66"/>
      <c r="K3" s="67" t="s">
        <v>7</v>
      </c>
      <c r="L3" s="63" t="s">
        <v>9</v>
      </c>
      <c r="M3" s="66" t="s">
        <v>8</v>
      </c>
    </row>
    <row r="4" spans="1:13" s="7" customFormat="1" ht="23.25" customHeight="1" thickBot="1">
      <c r="A4" s="60"/>
      <c r="B4" s="62"/>
      <c r="C4" s="62"/>
      <c r="D4" s="62"/>
      <c r="E4" s="62"/>
      <c r="F4" s="65"/>
      <c r="G4" s="3">
        <v>1</v>
      </c>
      <c r="H4" s="2">
        <v>2</v>
      </c>
      <c r="I4" s="2">
        <v>3</v>
      </c>
      <c r="J4" s="4" t="s">
        <v>10</v>
      </c>
      <c r="K4" s="68"/>
      <c r="L4" s="62"/>
      <c r="M4" s="69"/>
    </row>
    <row r="5" spans="1:13" ht="15">
      <c r="A5" s="70" t="s">
        <v>171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3">
      <c r="A6" s="35" t="s">
        <v>669</v>
      </c>
      <c r="B6" s="35" t="s">
        <v>670</v>
      </c>
      <c r="C6" s="35" t="s">
        <v>671</v>
      </c>
      <c r="D6" s="35" t="str">
        <f>"0,9584"</f>
        <v>0,9584</v>
      </c>
      <c r="E6" s="35" t="s">
        <v>17</v>
      </c>
      <c r="F6" s="35" t="s">
        <v>89</v>
      </c>
      <c r="G6" s="35" t="s">
        <v>44</v>
      </c>
      <c r="H6" s="36" t="s">
        <v>59</v>
      </c>
      <c r="I6" s="36" t="s">
        <v>59</v>
      </c>
      <c r="J6" s="36"/>
      <c r="K6" s="35">
        <v>150</v>
      </c>
      <c r="L6" s="35" t="str">
        <f>"143,7525"</f>
        <v>143,7525</v>
      </c>
      <c r="M6" s="35"/>
    </row>
    <row r="8" spans="1:13" ht="15">
      <c r="A8" s="52" t="s">
        <v>13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3">
      <c r="A9" s="35" t="s">
        <v>672</v>
      </c>
      <c r="B9" s="35" t="s">
        <v>673</v>
      </c>
      <c r="C9" s="35" t="s">
        <v>674</v>
      </c>
      <c r="D9" s="35" t="str">
        <f>"0,6885"</f>
        <v>0,6885</v>
      </c>
      <c r="E9" s="35" t="s">
        <v>17</v>
      </c>
      <c r="F9" s="35" t="s">
        <v>40</v>
      </c>
      <c r="G9" s="35" t="s">
        <v>238</v>
      </c>
      <c r="H9" s="35" t="s">
        <v>371</v>
      </c>
      <c r="I9" s="35" t="s">
        <v>144</v>
      </c>
      <c r="J9" s="36"/>
      <c r="K9" s="35">
        <v>210</v>
      </c>
      <c r="L9" s="35" t="str">
        <f>"144,5955"</f>
        <v>144,5955</v>
      </c>
      <c r="M9" s="35"/>
    </row>
    <row r="11" spans="1:13" ht="15">
      <c r="A11" s="52" t="s">
        <v>25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3">
      <c r="A12" s="45" t="s">
        <v>206</v>
      </c>
      <c r="B12" s="45" t="s">
        <v>207</v>
      </c>
      <c r="C12" s="45" t="s">
        <v>208</v>
      </c>
      <c r="D12" s="45" t="str">
        <f>"0,6209"</f>
        <v>0,6209</v>
      </c>
      <c r="E12" s="45" t="s">
        <v>17</v>
      </c>
      <c r="F12" s="45" t="s">
        <v>209</v>
      </c>
      <c r="G12" s="46" t="s">
        <v>52</v>
      </c>
      <c r="H12" s="45" t="s">
        <v>52</v>
      </c>
      <c r="I12" s="45" t="s">
        <v>83</v>
      </c>
      <c r="J12" s="46"/>
      <c r="K12" s="45">
        <v>235</v>
      </c>
      <c r="L12" s="45" t="str">
        <f>"145,9115"</f>
        <v>145,9115</v>
      </c>
      <c r="M12" s="45" t="s">
        <v>675</v>
      </c>
    </row>
    <row r="13" spans="1:13">
      <c r="A13" s="49" t="s">
        <v>676</v>
      </c>
      <c r="B13" s="49" t="s">
        <v>677</v>
      </c>
      <c r="C13" s="49" t="s">
        <v>48</v>
      </c>
      <c r="D13" s="49" t="str">
        <f>"0,6133"</f>
        <v>0,6133</v>
      </c>
      <c r="E13" s="49" t="s">
        <v>589</v>
      </c>
      <c r="F13" s="49" t="s">
        <v>678</v>
      </c>
      <c r="G13" s="49" t="s">
        <v>31</v>
      </c>
      <c r="H13" s="50"/>
      <c r="I13" s="50"/>
      <c r="J13" s="50"/>
      <c r="K13" s="49">
        <v>215</v>
      </c>
      <c r="L13" s="49" t="str">
        <f>"131,8702"</f>
        <v>131,8702</v>
      </c>
      <c r="M13" s="49"/>
    </row>
    <row r="14" spans="1:13">
      <c r="A14" s="47" t="s">
        <v>676</v>
      </c>
      <c r="B14" s="47" t="s">
        <v>679</v>
      </c>
      <c r="C14" s="47" t="s">
        <v>48</v>
      </c>
      <c r="D14" s="47" t="str">
        <f>"0,7146"</f>
        <v>0,7146</v>
      </c>
      <c r="E14" s="47" t="s">
        <v>589</v>
      </c>
      <c r="F14" s="47" t="s">
        <v>678</v>
      </c>
      <c r="G14" s="47" t="s">
        <v>31</v>
      </c>
      <c r="H14" s="48"/>
      <c r="I14" s="48"/>
      <c r="J14" s="48"/>
      <c r="K14" s="47">
        <v>215</v>
      </c>
      <c r="L14" s="47" t="str">
        <f>"153,6288"</f>
        <v>153,6288</v>
      </c>
      <c r="M14" s="47"/>
    </row>
    <row r="16" spans="1:13" ht="15">
      <c r="A16" s="52" t="s">
        <v>53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3">
      <c r="A17" s="45" t="s">
        <v>680</v>
      </c>
      <c r="B17" s="45" t="s">
        <v>681</v>
      </c>
      <c r="C17" s="45" t="s">
        <v>56</v>
      </c>
      <c r="D17" s="45" t="str">
        <f>"0,5891"</f>
        <v>0,5891</v>
      </c>
      <c r="E17" s="45" t="s">
        <v>17</v>
      </c>
      <c r="F17" s="45" t="s">
        <v>148</v>
      </c>
      <c r="G17" s="46" t="s">
        <v>682</v>
      </c>
      <c r="H17" s="46" t="s">
        <v>682</v>
      </c>
      <c r="I17" s="46" t="s">
        <v>682</v>
      </c>
      <c r="J17" s="46"/>
      <c r="K17" s="45">
        <v>0</v>
      </c>
      <c r="L17" s="45" t="str">
        <f>"0,0000"</f>
        <v>0,0000</v>
      </c>
      <c r="M17" s="45" t="s">
        <v>683</v>
      </c>
    </row>
    <row r="18" spans="1:13">
      <c r="A18" s="49" t="s">
        <v>244</v>
      </c>
      <c r="B18" s="49" t="s">
        <v>245</v>
      </c>
      <c r="C18" s="49" t="s">
        <v>246</v>
      </c>
      <c r="D18" s="49" t="str">
        <f>"0,6070"</f>
        <v>0,6070</v>
      </c>
      <c r="E18" s="49" t="s">
        <v>17</v>
      </c>
      <c r="F18" s="49" t="s">
        <v>148</v>
      </c>
      <c r="G18" s="49" t="s">
        <v>75</v>
      </c>
      <c r="H18" s="50" t="s">
        <v>194</v>
      </c>
      <c r="I18" s="49" t="s">
        <v>238</v>
      </c>
      <c r="J18" s="50"/>
      <c r="K18" s="49">
        <v>195</v>
      </c>
      <c r="L18" s="49" t="str">
        <f>"118,3571"</f>
        <v>118,3571</v>
      </c>
      <c r="M18" s="49"/>
    </row>
    <row r="19" spans="1:13">
      <c r="A19" s="47" t="s">
        <v>684</v>
      </c>
      <c r="B19" s="47" t="s">
        <v>685</v>
      </c>
      <c r="C19" s="47" t="s">
        <v>686</v>
      </c>
      <c r="D19" s="47" t="str">
        <f>"0,6817"</f>
        <v>0,6817</v>
      </c>
      <c r="E19" s="47" t="s">
        <v>17</v>
      </c>
      <c r="F19" s="47" t="s">
        <v>687</v>
      </c>
      <c r="G19" s="48" t="s">
        <v>371</v>
      </c>
      <c r="H19" s="47" t="s">
        <v>371</v>
      </c>
      <c r="I19" s="48" t="s">
        <v>391</v>
      </c>
      <c r="J19" s="48"/>
      <c r="K19" s="47">
        <v>205</v>
      </c>
      <c r="L19" s="47" t="str">
        <f>"139,7544"</f>
        <v>139,7544</v>
      </c>
      <c r="M19" s="47"/>
    </row>
    <row r="21" spans="1:13" ht="15">
      <c r="A21" s="52" t="s">
        <v>84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1:13">
      <c r="A22" s="35" t="s">
        <v>688</v>
      </c>
      <c r="B22" s="35" t="s">
        <v>689</v>
      </c>
      <c r="C22" s="35" t="s">
        <v>690</v>
      </c>
      <c r="D22" s="35" t="str">
        <f>"0,5727"</f>
        <v>0,5727</v>
      </c>
      <c r="E22" s="35" t="s">
        <v>201</v>
      </c>
      <c r="F22" s="35" t="s">
        <v>477</v>
      </c>
      <c r="G22" s="35" t="s">
        <v>76</v>
      </c>
      <c r="H22" s="35" t="s">
        <v>30</v>
      </c>
      <c r="I22" s="35" t="s">
        <v>45</v>
      </c>
      <c r="J22" s="36"/>
      <c r="K22" s="35">
        <v>220</v>
      </c>
      <c r="L22" s="35" t="str">
        <f>"126,0050"</f>
        <v>126,0050</v>
      </c>
      <c r="M22" s="35"/>
    </row>
    <row r="24" spans="1:13" ht="15">
      <c r="A24" s="52" t="s">
        <v>263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3">
      <c r="A25" s="45" t="s">
        <v>264</v>
      </c>
      <c r="B25" s="45" t="s">
        <v>265</v>
      </c>
      <c r="C25" s="45" t="s">
        <v>691</v>
      </c>
      <c r="D25" s="45" t="str">
        <f>"0,5530"</f>
        <v>0,5530</v>
      </c>
      <c r="E25" s="45" t="s">
        <v>17</v>
      </c>
      <c r="F25" s="45" t="s">
        <v>267</v>
      </c>
      <c r="G25" s="45" t="s">
        <v>692</v>
      </c>
      <c r="H25" s="45" t="s">
        <v>62</v>
      </c>
      <c r="I25" s="46"/>
      <c r="J25" s="46"/>
      <c r="K25" s="45">
        <v>305</v>
      </c>
      <c r="L25" s="45" t="str">
        <f>"168,6650"</f>
        <v>168,6650</v>
      </c>
      <c r="M25" s="45"/>
    </row>
    <row r="26" spans="1:13">
      <c r="A26" s="47" t="s">
        <v>264</v>
      </c>
      <c r="B26" s="47" t="s">
        <v>269</v>
      </c>
      <c r="C26" s="47" t="s">
        <v>266</v>
      </c>
      <c r="D26" s="47" t="str">
        <f>"0,5698"</f>
        <v>0,5698</v>
      </c>
      <c r="E26" s="47" t="s">
        <v>17</v>
      </c>
      <c r="F26" s="47" t="s">
        <v>267</v>
      </c>
      <c r="G26" s="47" t="s">
        <v>692</v>
      </c>
      <c r="H26" s="47" t="s">
        <v>62</v>
      </c>
      <c r="I26" s="48"/>
      <c r="J26" s="48"/>
      <c r="K26" s="47">
        <v>305</v>
      </c>
      <c r="L26" s="47" t="str">
        <f>"173,7993"</f>
        <v>173,7993</v>
      </c>
      <c r="M26" s="47"/>
    </row>
    <row r="28" spans="1:13" ht="15">
      <c r="A28" s="52" t="s">
        <v>270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3">
      <c r="A29" s="35" t="s">
        <v>693</v>
      </c>
      <c r="B29" s="35" t="s">
        <v>694</v>
      </c>
      <c r="C29" s="35" t="s">
        <v>695</v>
      </c>
      <c r="D29" s="35" t="str">
        <f>"0,5391"</f>
        <v>0,5391</v>
      </c>
      <c r="E29" s="35" t="s">
        <v>88</v>
      </c>
      <c r="F29" s="35" t="s">
        <v>696</v>
      </c>
      <c r="G29" s="35" t="s">
        <v>58</v>
      </c>
      <c r="H29" s="35" t="s">
        <v>90</v>
      </c>
      <c r="I29" s="36" t="s">
        <v>92</v>
      </c>
      <c r="J29" s="36"/>
      <c r="K29" s="35">
        <v>300</v>
      </c>
      <c r="L29" s="35" t="str">
        <f>"161,7450"</f>
        <v>161,7450</v>
      </c>
      <c r="M29" s="35"/>
    </row>
    <row r="31" spans="1:13" ht="15">
      <c r="E31" s="37" t="s">
        <v>93</v>
      </c>
    </row>
    <row r="32" spans="1:13" ht="15">
      <c r="E32" s="37" t="s">
        <v>94</v>
      </c>
    </row>
    <row r="33" spans="1:5" ht="15">
      <c r="E33" s="37" t="s">
        <v>95</v>
      </c>
    </row>
    <row r="34" spans="1:5">
      <c r="E34" s="34" t="s">
        <v>96</v>
      </c>
    </row>
    <row r="35" spans="1:5">
      <c r="E35" s="34" t="s">
        <v>97</v>
      </c>
    </row>
    <row r="36" spans="1:5">
      <c r="E36" s="34" t="s">
        <v>98</v>
      </c>
    </row>
    <row r="39" spans="1:5" ht="18">
      <c r="A39" s="38" t="s">
        <v>99</v>
      </c>
      <c r="B39" s="38"/>
    </row>
    <row r="40" spans="1:5" ht="15">
      <c r="A40" s="39" t="s">
        <v>100</v>
      </c>
      <c r="B40" s="39"/>
    </row>
    <row r="41" spans="1:5" ht="14.25">
      <c r="A41" s="41" t="s">
        <v>110</v>
      </c>
      <c r="B41" s="42"/>
    </row>
    <row r="42" spans="1:5" ht="15">
      <c r="A42" s="43" t="s">
        <v>0</v>
      </c>
      <c r="B42" s="43" t="s">
        <v>102</v>
      </c>
      <c r="C42" s="43" t="s">
        <v>103</v>
      </c>
      <c r="D42" s="43" t="s">
        <v>7</v>
      </c>
      <c r="E42" s="43" t="s">
        <v>104</v>
      </c>
    </row>
    <row r="43" spans="1:5">
      <c r="A43" s="40" t="s">
        <v>669</v>
      </c>
      <c r="B43" s="34" t="s">
        <v>110</v>
      </c>
      <c r="C43" s="34" t="s">
        <v>285</v>
      </c>
      <c r="D43" s="34" t="s">
        <v>44</v>
      </c>
      <c r="E43" s="44" t="s">
        <v>697</v>
      </c>
    </row>
    <row r="46" spans="1:5" ht="15">
      <c r="A46" s="39" t="s">
        <v>109</v>
      </c>
      <c r="B46" s="39"/>
    </row>
    <row r="47" spans="1:5" ht="14.25">
      <c r="A47" s="41" t="s">
        <v>110</v>
      </c>
      <c r="B47" s="42"/>
    </row>
    <row r="48" spans="1:5" ht="15">
      <c r="A48" s="43" t="s">
        <v>0</v>
      </c>
      <c r="B48" s="43" t="s">
        <v>102</v>
      </c>
      <c r="C48" s="43" t="s">
        <v>103</v>
      </c>
      <c r="D48" s="43" t="s">
        <v>7</v>
      </c>
      <c r="E48" s="43" t="s">
        <v>104</v>
      </c>
    </row>
    <row r="49" spans="1:5">
      <c r="A49" s="40" t="s">
        <v>264</v>
      </c>
      <c r="B49" s="34" t="s">
        <v>110</v>
      </c>
      <c r="C49" s="34" t="s">
        <v>625</v>
      </c>
      <c r="D49" s="34" t="s">
        <v>62</v>
      </c>
      <c r="E49" s="44" t="s">
        <v>698</v>
      </c>
    </row>
    <row r="50" spans="1:5">
      <c r="A50" s="40" t="s">
        <v>693</v>
      </c>
      <c r="B50" s="34" t="s">
        <v>110</v>
      </c>
      <c r="C50" s="34" t="s">
        <v>293</v>
      </c>
      <c r="D50" s="34" t="s">
        <v>90</v>
      </c>
      <c r="E50" s="44" t="s">
        <v>699</v>
      </c>
    </row>
    <row r="51" spans="1:5">
      <c r="A51" s="40" t="s">
        <v>206</v>
      </c>
      <c r="B51" s="34" t="s">
        <v>110</v>
      </c>
      <c r="C51" s="34" t="s">
        <v>119</v>
      </c>
      <c r="D51" s="34" t="s">
        <v>83</v>
      </c>
      <c r="E51" s="44" t="s">
        <v>700</v>
      </c>
    </row>
    <row r="52" spans="1:5">
      <c r="A52" s="40" t="s">
        <v>672</v>
      </c>
      <c r="B52" s="34" t="s">
        <v>110</v>
      </c>
      <c r="C52" s="34" t="s">
        <v>106</v>
      </c>
      <c r="D52" s="34" t="s">
        <v>144</v>
      </c>
      <c r="E52" s="44" t="s">
        <v>701</v>
      </c>
    </row>
    <row r="53" spans="1:5">
      <c r="A53" s="40" t="s">
        <v>676</v>
      </c>
      <c r="B53" s="34" t="s">
        <v>110</v>
      </c>
      <c r="C53" s="34" t="s">
        <v>119</v>
      </c>
      <c r="D53" s="34" t="s">
        <v>31</v>
      </c>
      <c r="E53" s="44" t="s">
        <v>702</v>
      </c>
    </row>
    <row r="54" spans="1:5">
      <c r="A54" s="40" t="s">
        <v>688</v>
      </c>
      <c r="B54" s="34" t="s">
        <v>110</v>
      </c>
      <c r="C54" s="34" t="s">
        <v>111</v>
      </c>
      <c r="D54" s="34" t="s">
        <v>45</v>
      </c>
      <c r="E54" s="44" t="s">
        <v>703</v>
      </c>
    </row>
    <row r="56" spans="1:5" ht="14.25">
      <c r="A56" s="41" t="s">
        <v>101</v>
      </c>
      <c r="B56" s="42"/>
    </row>
    <row r="57" spans="1:5" ht="15">
      <c r="A57" s="43" t="s">
        <v>0</v>
      </c>
      <c r="B57" s="43" t="s">
        <v>102</v>
      </c>
      <c r="C57" s="43" t="s">
        <v>103</v>
      </c>
      <c r="D57" s="43" t="s">
        <v>7</v>
      </c>
      <c r="E57" s="43" t="s">
        <v>104</v>
      </c>
    </row>
    <row r="58" spans="1:5">
      <c r="A58" s="40" t="s">
        <v>264</v>
      </c>
      <c r="B58" s="34" t="s">
        <v>305</v>
      </c>
      <c r="C58" s="34" t="s">
        <v>625</v>
      </c>
      <c r="D58" s="34" t="s">
        <v>62</v>
      </c>
      <c r="E58" s="44" t="s">
        <v>704</v>
      </c>
    </row>
    <row r="59" spans="1:5">
      <c r="A59" s="40" t="s">
        <v>676</v>
      </c>
      <c r="B59" s="34" t="s">
        <v>611</v>
      </c>
      <c r="C59" s="34" t="s">
        <v>119</v>
      </c>
      <c r="D59" s="34" t="s">
        <v>31</v>
      </c>
      <c r="E59" s="44" t="s">
        <v>705</v>
      </c>
    </row>
    <row r="60" spans="1:5">
      <c r="A60" s="40" t="s">
        <v>684</v>
      </c>
      <c r="B60" s="34" t="s">
        <v>611</v>
      </c>
      <c r="C60" s="34" t="s">
        <v>114</v>
      </c>
      <c r="D60" s="34" t="s">
        <v>371</v>
      </c>
      <c r="E60" s="44" t="s">
        <v>706</v>
      </c>
    </row>
    <row r="61" spans="1:5">
      <c r="A61" s="40" t="s">
        <v>244</v>
      </c>
      <c r="B61" s="34" t="s">
        <v>305</v>
      </c>
      <c r="C61" s="34" t="s">
        <v>114</v>
      </c>
      <c r="D61" s="34" t="s">
        <v>238</v>
      </c>
      <c r="E61" s="44" t="s">
        <v>707</v>
      </c>
    </row>
  </sheetData>
  <mergeCells count="18"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A16:L16"/>
    <mergeCell ref="A21:L21"/>
    <mergeCell ref="A24:L24"/>
    <mergeCell ref="A28:L28"/>
    <mergeCell ref="K3:K4"/>
    <mergeCell ref="L3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8"/>
  <sheetViews>
    <sheetView workbookViewId="0">
      <selection activeCell="A28" sqref="A28:T28"/>
    </sheetView>
  </sheetViews>
  <sheetFormatPr defaultRowHeight="12.75"/>
  <cols>
    <col min="1" max="1" width="27" style="34" bestFit="1" customWidth="1"/>
    <col min="2" max="2" width="26.85546875" style="34" bestFit="1" customWidth="1"/>
    <col min="3" max="3" width="7.7109375" style="34" bestFit="1" customWidth="1"/>
    <col min="4" max="4" width="6.85546875" style="34" bestFit="1" customWidth="1"/>
    <col min="5" max="5" width="18.7109375" style="34" bestFit="1" customWidth="1"/>
    <col min="6" max="6" width="36.140625" style="34" bestFit="1" customWidth="1"/>
    <col min="7" max="9" width="5.5703125" style="34" bestFit="1" customWidth="1"/>
    <col min="10" max="10" width="4.85546875" style="34" bestFit="1" customWidth="1"/>
    <col min="11" max="13" width="5.5703125" style="34" bestFit="1" customWidth="1"/>
    <col min="14" max="14" width="4.85546875" style="34" bestFit="1" customWidth="1"/>
    <col min="15" max="17" width="5.5703125" style="34" bestFit="1" customWidth="1"/>
    <col min="18" max="18" width="4.85546875" style="34" bestFit="1" customWidth="1"/>
    <col min="19" max="19" width="6.7109375" style="34" bestFit="1" customWidth="1"/>
    <col min="20" max="20" width="8.5703125" style="34" bestFit="1" customWidth="1"/>
    <col min="21" max="21" width="7.5703125" style="34" bestFit="1" customWidth="1"/>
  </cols>
  <sheetData>
    <row r="1" spans="1:21" s="1" customFormat="1" ht="15" customHeight="1">
      <c r="A1" s="53" t="s">
        <v>847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</row>
    <row r="2" spans="1:21" s="1" customFormat="1" ht="13.5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8"/>
    </row>
    <row r="3" spans="1:21" s="7" customFormat="1" ht="12.75" customHeight="1">
      <c r="A3" s="59" t="s">
        <v>0</v>
      </c>
      <c r="B3" s="61" t="s">
        <v>12</v>
      </c>
      <c r="C3" s="61" t="s">
        <v>11</v>
      </c>
      <c r="D3" s="63" t="s">
        <v>1</v>
      </c>
      <c r="E3" s="63" t="s">
        <v>2</v>
      </c>
      <c r="F3" s="64" t="s">
        <v>3</v>
      </c>
      <c r="G3" s="59" t="s">
        <v>4</v>
      </c>
      <c r="H3" s="63"/>
      <c r="I3" s="63"/>
      <c r="J3" s="66"/>
      <c r="K3" s="59" t="s">
        <v>5</v>
      </c>
      <c r="L3" s="63"/>
      <c r="M3" s="63"/>
      <c r="N3" s="66"/>
      <c r="O3" s="59" t="s">
        <v>6</v>
      </c>
      <c r="P3" s="63"/>
      <c r="Q3" s="63"/>
      <c r="R3" s="66"/>
      <c r="S3" s="67" t="s">
        <v>7</v>
      </c>
      <c r="T3" s="63" t="s">
        <v>9</v>
      </c>
      <c r="U3" s="66" t="s">
        <v>8</v>
      </c>
    </row>
    <row r="4" spans="1:21" s="7" customFormat="1" ht="23.25" customHeight="1" thickBot="1">
      <c r="A4" s="60"/>
      <c r="B4" s="62"/>
      <c r="C4" s="62"/>
      <c r="D4" s="62"/>
      <c r="E4" s="62"/>
      <c r="F4" s="65"/>
      <c r="G4" s="3">
        <v>1</v>
      </c>
      <c r="H4" s="2">
        <v>2</v>
      </c>
      <c r="I4" s="2">
        <v>3</v>
      </c>
      <c r="J4" s="4" t="s">
        <v>10</v>
      </c>
      <c r="K4" s="3">
        <v>1</v>
      </c>
      <c r="L4" s="2">
        <v>2</v>
      </c>
      <c r="M4" s="2">
        <v>3</v>
      </c>
      <c r="N4" s="4" t="s">
        <v>10</v>
      </c>
      <c r="O4" s="3">
        <v>1</v>
      </c>
      <c r="P4" s="2">
        <v>2</v>
      </c>
      <c r="Q4" s="2">
        <v>3</v>
      </c>
      <c r="R4" s="4" t="s">
        <v>10</v>
      </c>
      <c r="S4" s="68"/>
      <c r="T4" s="62"/>
      <c r="U4" s="69"/>
    </row>
    <row r="5" spans="1:21" ht="15">
      <c r="A5" s="70" t="s">
        <v>312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21">
      <c r="A6" s="35" t="s">
        <v>313</v>
      </c>
      <c r="B6" s="35" t="s">
        <v>314</v>
      </c>
      <c r="C6" s="35" t="s">
        <v>315</v>
      </c>
      <c r="D6" s="35" t="str">
        <f>"1,2000"</f>
        <v>1,2000</v>
      </c>
      <c r="E6" s="35" t="s">
        <v>17</v>
      </c>
      <c r="F6" s="35" t="s">
        <v>175</v>
      </c>
      <c r="G6" s="35" t="s">
        <v>316</v>
      </c>
      <c r="H6" s="36" t="s">
        <v>317</v>
      </c>
      <c r="I6" s="35" t="s">
        <v>317</v>
      </c>
      <c r="J6" s="36"/>
      <c r="K6" s="35" t="s">
        <v>318</v>
      </c>
      <c r="L6" s="35" t="s">
        <v>161</v>
      </c>
      <c r="M6" s="36" t="s">
        <v>319</v>
      </c>
      <c r="N6" s="36"/>
      <c r="O6" s="35" t="s">
        <v>247</v>
      </c>
      <c r="P6" s="35" t="s">
        <v>80</v>
      </c>
      <c r="Q6" s="36" t="s">
        <v>81</v>
      </c>
      <c r="R6" s="36"/>
      <c r="S6" s="35">
        <v>277.5</v>
      </c>
      <c r="T6" s="35" t="str">
        <f>"333,0000"</f>
        <v>333,0000</v>
      </c>
      <c r="U6" s="35"/>
    </row>
    <row r="8" spans="1:21" ht="15">
      <c r="A8" s="52" t="s">
        <v>164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</row>
    <row r="9" spans="1:21">
      <c r="A9" s="35" t="s">
        <v>320</v>
      </c>
      <c r="B9" s="35" t="s">
        <v>321</v>
      </c>
      <c r="C9" s="35" t="s">
        <v>322</v>
      </c>
      <c r="D9" s="35" t="str">
        <f>"1,0638"</f>
        <v>1,0638</v>
      </c>
      <c r="E9" s="35" t="s">
        <v>66</v>
      </c>
      <c r="F9" s="35" t="s">
        <v>323</v>
      </c>
      <c r="G9" s="35" t="s">
        <v>324</v>
      </c>
      <c r="H9" s="35" t="s">
        <v>247</v>
      </c>
      <c r="I9" s="36" t="s">
        <v>80</v>
      </c>
      <c r="J9" s="36"/>
      <c r="K9" s="35" t="s">
        <v>318</v>
      </c>
      <c r="L9" s="36" t="s">
        <v>161</v>
      </c>
      <c r="M9" s="36" t="s">
        <v>161</v>
      </c>
      <c r="N9" s="36"/>
      <c r="O9" s="35" t="s">
        <v>316</v>
      </c>
      <c r="P9" s="35" t="s">
        <v>247</v>
      </c>
      <c r="Q9" s="36" t="s">
        <v>325</v>
      </c>
      <c r="R9" s="36"/>
      <c r="S9" s="35">
        <v>270</v>
      </c>
      <c r="T9" s="35" t="str">
        <f>"287,2260"</f>
        <v>287,2260</v>
      </c>
      <c r="U9" s="35"/>
    </row>
    <row r="11" spans="1:21" ht="15">
      <c r="A11" s="52" t="s">
        <v>156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</row>
    <row r="12" spans="1:21">
      <c r="A12" s="35" t="s">
        <v>326</v>
      </c>
      <c r="B12" s="35" t="s">
        <v>327</v>
      </c>
      <c r="C12" s="35" t="s">
        <v>328</v>
      </c>
      <c r="D12" s="35" t="str">
        <f>"1,0510"</f>
        <v>1,0510</v>
      </c>
      <c r="E12" s="35" t="s">
        <v>17</v>
      </c>
      <c r="F12" s="35" t="s">
        <v>329</v>
      </c>
      <c r="G12" s="36" t="s">
        <v>316</v>
      </c>
      <c r="H12" s="36" t="s">
        <v>316</v>
      </c>
      <c r="I12" s="36" t="s">
        <v>316</v>
      </c>
      <c r="J12" s="36"/>
      <c r="K12" s="36" t="s">
        <v>324</v>
      </c>
      <c r="L12" s="36"/>
      <c r="M12" s="36"/>
      <c r="N12" s="36"/>
      <c r="O12" s="36" t="s">
        <v>324</v>
      </c>
      <c r="P12" s="36"/>
      <c r="Q12" s="36"/>
      <c r="R12" s="36"/>
      <c r="S12" s="35">
        <v>0</v>
      </c>
      <c r="T12" s="35" t="str">
        <f>"0,0000"</f>
        <v>0,0000</v>
      </c>
      <c r="U12" s="35"/>
    </row>
    <row r="14" spans="1:21" ht="15">
      <c r="A14" s="52" t="s">
        <v>13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1:21">
      <c r="A15" s="45" t="s">
        <v>330</v>
      </c>
      <c r="B15" s="45" t="s">
        <v>331</v>
      </c>
      <c r="C15" s="45" t="s">
        <v>332</v>
      </c>
      <c r="D15" s="45" t="str">
        <f>"0,7140"</f>
        <v>0,7140</v>
      </c>
      <c r="E15" s="45" t="s">
        <v>17</v>
      </c>
      <c r="F15" s="45" t="s">
        <v>333</v>
      </c>
      <c r="G15" s="45" t="s">
        <v>44</v>
      </c>
      <c r="H15" s="45" t="s">
        <v>59</v>
      </c>
      <c r="I15" s="45" t="s">
        <v>69</v>
      </c>
      <c r="J15" s="46"/>
      <c r="K15" s="45" t="s">
        <v>247</v>
      </c>
      <c r="L15" s="45" t="s">
        <v>334</v>
      </c>
      <c r="M15" s="45" t="s">
        <v>81</v>
      </c>
      <c r="N15" s="46"/>
      <c r="O15" s="45" t="s">
        <v>44</v>
      </c>
      <c r="P15" s="45" t="s">
        <v>69</v>
      </c>
      <c r="Q15" s="45" t="s">
        <v>75</v>
      </c>
      <c r="R15" s="46"/>
      <c r="S15" s="45">
        <v>455</v>
      </c>
      <c r="T15" s="45" t="str">
        <f>"324,8927"</f>
        <v>324,8927</v>
      </c>
      <c r="U15" s="45"/>
    </row>
    <row r="16" spans="1:21">
      <c r="A16" s="47" t="s">
        <v>335</v>
      </c>
      <c r="B16" s="47" t="s">
        <v>336</v>
      </c>
      <c r="C16" s="47" t="s">
        <v>337</v>
      </c>
      <c r="D16" s="47" t="str">
        <f>"0,7056"</f>
        <v>0,7056</v>
      </c>
      <c r="E16" s="47" t="s">
        <v>66</v>
      </c>
      <c r="F16" s="47" t="s">
        <v>148</v>
      </c>
      <c r="G16" s="48" t="s">
        <v>338</v>
      </c>
      <c r="H16" s="47" t="s">
        <v>50</v>
      </c>
      <c r="I16" s="48" t="s">
        <v>44</v>
      </c>
      <c r="J16" s="48"/>
      <c r="K16" s="48" t="s">
        <v>80</v>
      </c>
      <c r="L16" s="47" t="s">
        <v>81</v>
      </c>
      <c r="M16" s="47" t="s">
        <v>339</v>
      </c>
      <c r="N16" s="48"/>
      <c r="O16" s="47" t="s">
        <v>44</v>
      </c>
      <c r="P16" s="47" t="s">
        <v>75</v>
      </c>
      <c r="Q16" s="47" t="s">
        <v>340</v>
      </c>
      <c r="R16" s="48"/>
      <c r="S16" s="47">
        <v>440</v>
      </c>
      <c r="T16" s="47" t="str">
        <f>"310,4860"</f>
        <v>310,4860</v>
      </c>
      <c r="U16" s="47"/>
    </row>
    <row r="18" spans="1:21" ht="15">
      <c r="A18" s="52" t="s">
        <v>139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1">
      <c r="A19" s="45" t="s">
        <v>341</v>
      </c>
      <c r="B19" s="45" t="s">
        <v>342</v>
      </c>
      <c r="C19" s="45" t="s">
        <v>343</v>
      </c>
      <c r="D19" s="45" t="str">
        <f>"0,6529"</f>
        <v>0,6529</v>
      </c>
      <c r="E19" s="45" t="s">
        <v>17</v>
      </c>
      <c r="F19" s="45" t="s">
        <v>148</v>
      </c>
      <c r="G19" s="45" t="s">
        <v>76</v>
      </c>
      <c r="H19" s="46" t="s">
        <v>344</v>
      </c>
      <c r="I19" s="45" t="s">
        <v>344</v>
      </c>
      <c r="J19" s="46"/>
      <c r="K19" s="46" t="s">
        <v>345</v>
      </c>
      <c r="L19" s="45" t="s">
        <v>345</v>
      </c>
      <c r="M19" s="46" t="s">
        <v>339</v>
      </c>
      <c r="N19" s="46"/>
      <c r="O19" s="45" t="s">
        <v>32</v>
      </c>
      <c r="P19" s="45" t="s">
        <v>346</v>
      </c>
      <c r="Q19" s="45" t="s">
        <v>35</v>
      </c>
      <c r="R19" s="46"/>
      <c r="S19" s="45">
        <v>555</v>
      </c>
      <c r="T19" s="45" t="str">
        <f>"362,3595"</f>
        <v>362,3595</v>
      </c>
      <c r="U19" s="45"/>
    </row>
    <row r="20" spans="1:21">
      <c r="A20" s="47" t="s">
        <v>347</v>
      </c>
      <c r="B20" s="47" t="s">
        <v>348</v>
      </c>
      <c r="C20" s="47" t="s">
        <v>349</v>
      </c>
      <c r="D20" s="47" t="str">
        <f>"0,6567"</f>
        <v>0,6567</v>
      </c>
      <c r="E20" s="47" t="s">
        <v>66</v>
      </c>
      <c r="F20" s="47" t="s">
        <v>148</v>
      </c>
      <c r="G20" s="48" t="s">
        <v>50</v>
      </c>
      <c r="H20" s="48" t="s">
        <v>51</v>
      </c>
      <c r="I20" s="47" t="s">
        <v>51</v>
      </c>
      <c r="J20" s="48"/>
      <c r="K20" s="48" t="s">
        <v>350</v>
      </c>
      <c r="L20" s="48" t="s">
        <v>350</v>
      </c>
      <c r="M20" s="47" t="s">
        <v>350</v>
      </c>
      <c r="N20" s="48"/>
      <c r="O20" s="47" t="s">
        <v>44</v>
      </c>
      <c r="P20" s="47" t="s">
        <v>69</v>
      </c>
      <c r="Q20" s="47" t="s">
        <v>76</v>
      </c>
      <c r="R20" s="48"/>
      <c r="S20" s="47">
        <v>420</v>
      </c>
      <c r="T20" s="47" t="str">
        <f>"275,8140"</f>
        <v>275,8140</v>
      </c>
      <c r="U20" s="47"/>
    </row>
    <row r="22" spans="1:21" ht="15">
      <c r="A22" s="52" t="s">
        <v>25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</row>
    <row r="23" spans="1:21">
      <c r="A23" s="45" t="s">
        <v>351</v>
      </c>
      <c r="B23" s="45" t="s">
        <v>352</v>
      </c>
      <c r="C23" s="45" t="s">
        <v>353</v>
      </c>
      <c r="D23" s="45" t="str">
        <f>"0,6173"</f>
        <v>0,6173</v>
      </c>
      <c r="E23" s="45" t="s">
        <v>66</v>
      </c>
      <c r="F23" s="45" t="s">
        <v>354</v>
      </c>
      <c r="G23" s="45" t="s">
        <v>76</v>
      </c>
      <c r="H23" s="45" t="s">
        <v>238</v>
      </c>
      <c r="I23" s="45" t="s">
        <v>144</v>
      </c>
      <c r="J23" s="46"/>
      <c r="K23" s="45" t="s">
        <v>81</v>
      </c>
      <c r="L23" s="45" t="s">
        <v>135</v>
      </c>
      <c r="M23" s="45" t="s">
        <v>243</v>
      </c>
      <c r="N23" s="46"/>
      <c r="O23" s="45" t="s">
        <v>32</v>
      </c>
      <c r="P23" s="46" t="s">
        <v>35</v>
      </c>
      <c r="Q23" s="46" t="s">
        <v>35</v>
      </c>
      <c r="R23" s="46"/>
      <c r="S23" s="45">
        <v>577.5</v>
      </c>
      <c r="T23" s="45" t="str">
        <f>"356,4907"</f>
        <v>356,4907</v>
      </c>
      <c r="U23" s="45"/>
    </row>
    <row r="24" spans="1:21">
      <c r="A24" s="49" t="s">
        <v>355</v>
      </c>
      <c r="B24" s="49" t="s">
        <v>356</v>
      </c>
      <c r="C24" s="49" t="s">
        <v>357</v>
      </c>
      <c r="D24" s="49" t="str">
        <f>"0,6137"</f>
        <v>0,6137</v>
      </c>
      <c r="E24" s="49" t="s">
        <v>66</v>
      </c>
      <c r="F24" s="49" t="s">
        <v>148</v>
      </c>
      <c r="G24" s="49" t="s">
        <v>238</v>
      </c>
      <c r="H24" s="49" t="s">
        <v>358</v>
      </c>
      <c r="I24" s="50" t="s">
        <v>203</v>
      </c>
      <c r="J24" s="50"/>
      <c r="K24" s="49" t="s">
        <v>43</v>
      </c>
      <c r="L24" s="49" t="s">
        <v>359</v>
      </c>
      <c r="M24" s="50" t="s">
        <v>138</v>
      </c>
      <c r="N24" s="50"/>
      <c r="O24" s="49" t="s">
        <v>238</v>
      </c>
      <c r="P24" s="49" t="s">
        <v>144</v>
      </c>
      <c r="Q24" s="49" t="s">
        <v>203</v>
      </c>
      <c r="R24" s="50"/>
      <c r="S24" s="49">
        <v>577.5</v>
      </c>
      <c r="T24" s="49" t="str">
        <f>"354,4406"</f>
        <v>354,4406</v>
      </c>
      <c r="U24" s="49"/>
    </row>
    <row r="25" spans="1:21">
      <c r="A25" s="49" t="s">
        <v>360</v>
      </c>
      <c r="B25" s="49" t="s">
        <v>361</v>
      </c>
      <c r="C25" s="49" t="s">
        <v>362</v>
      </c>
      <c r="D25" s="49" t="str">
        <f>"0,6169"</f>
        <v>0,6169</v>
      </c>
      <c r="E25" s="49" t="s">
        <v>17</v>
      </c>
      <c r="F25" s="49" t="s">
        <v>134</v>
      </c>
      <c r="G25" s="49" t="s">
        <v>76</v>
      </c>
      <c r="H25" s="49" t="s">
        <v>194</v>
      </c>
      <c r="I25" s="50" t="s">
        <v>107</v>
      </c>
      <c r="J25" s="50"/>
      <c r="K25" s="49" t="s">
        <v>80</v>
      </c>
      <c r="L25" s="49" t="s">
        <v>338</v>
      </c>
      <c r="M25" s="50" t="s">
        <v>363</v>
      </c>
      <c r="N25" s="50"/>
      <c r="O25" s="50" t="s">
        <v>30</v>
      </c>
      <c r="P25" s="49" t="s">
        <v>30</v>
      </c>
      <c r="Q25" s="49" t="s">
        <v>144</v>
      </c>
      <c r="R25" s="50"/>
      <c r="S25" s="49">
        <v>525</v>
      </c>
      <c r="T25" s="49" t="str">
        <f>"323,8463"</f>
        <v>323,8463</v>
      </c>
      <c r="U25" s="49"/>
    </row>
    <row r="26" spans="1:21">
      <c r="A26" s="47" t="s">
        <v>364</v>
      </c>
      <c r="B26" s="47" t="s">
        <v>365</v>
      </c>
      <c r="C26" s="47" t="s">
        <v>366</v>
      </c>
      <c r="D26" s="47" t="str">
        <f>"0,6255"</f>
        <v>0,6255</v>
      </c>
      <c r="E26" s="47" t="s">
        <v>66</v>
      </c>
      <c r="F26" s="47" t="s">
        <v>49</v>
      </c>
      <c r="G26" s="47" t="s">
        <v>44</v>
      </c>
      <c r="H26" s="47" t="s">
        <v>75</v>
      </c>
      <c r="I26" s="48" t="s">
        <v>70</v>
      </c>
      <c r="J26" s="48"/>
      <c r="K26" s="47" t="s">
        <v>316</v>
      </c>
      <c r="L26" s="47" t="s">
        <v>80</v>
      </c>
      <c r="M26" s="48" t="s">
        <v>81</v>
      </c>
      <c r="N26" s="48"/>
      <c r="O26" s="47" t="s">
        <v>76</v>
      </c>
      <c r="P26" s="47" t="s">
        <v>238</v>
      </c>
      <c r="Q26" s="47" t="s">
        <v>144</v>
      </c>
      <c r="R26" s="48"/>
      <c r="S26" s="47">
        <v>495</v>
      </c>
      <c r="T26" s="47" t="str">
        <f>"309,6225"</f>
        <v>309,6225</v>
      </c>
      <c r="U26" s="47"/>
    </row>
    <row r="28" spans="1:21" ht="15">
      <c r="A28" s="52" t="s">
        <v>53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</row>
    <row r="29" spans="1:21">
      <c r="A29" s="45" t="s">
        <v>367</v>
      </c>
      <c r="B29" s="45" t="s">
        <v>368</v>
      </c>
      <c r="C29" s="45" t="s">
        <v>369</v>
      </c>
      <c r="D29" s="45" t="str">
        <f>"0,5940"</f>
        <v>0,5940</v>
      </c>
      <c r="E29" s="45" t="s">
        <v>17</v>
      </c>
      <c r="F29" s="45" t="s">
        <v>370</v>
      </c>
      <c r="G29" s="45" t="s">
        <v>44</v>
      </c>
      <c r="H29" s="46" t="s">
        <v>59</v>
      </c>
      <c r="I29" s="46" t="s">
        <v>75</v>
      </c>
      <c r="J29" s="46"/>
      <c r="K29" s="46" t="s">
        <v>50</v>
      </c>
      <c r="L29" s="46" t="s">
        <v>50</v>
      </c>
      <c r="M29" s="46" t="s">
        <v>50</v>
      </c>
      <c r="N29" s="46"/>
      <c r="O29" s="46" t="s">
        <v>371</v>
      </c>
      <c r="P29" s="46"/>
      <c r="Q29" s="46"/>
      <c r="R29" s="46"/>
      <c r="S29" s="45">
        <v>0</v>
      </c>
      <c r="T29" s="45" t="str">
        <f>"0,0000"</f>
        <v>0,0000</v>
      </c>
      <c r="U29" s="45"/>
    </row>
    <row r="30" spans="1:21">
      <c r="A30" s="49" t="s">
        <v>372</v>
      </c>
      <c r="B30" s="49" t="s">
        <v>373</v>
      </c>
      <c r="C30" s="49" t="s">
        <v>65</v>
      </c>
      <c r="D30" s="49" t="str">
        <f>"0,5968"</f>
        <v>0,5968</v>
      </c>
      <c r="E30" s="49" t="s">
        <v>17</v>
      </c>
      <c r="F30" s="49" t="s">
        <v>148</v>
      </c>
      <c r="G30" s="49" t="s">
        <v>41</v>
      </c>
      <c r="H30" s="49" t="s">
        <v>42</v>
      </c>
      <c r="I30" s="49" t="s">
        <v>36</v>
      </c>
      <c r="J30" s="50"/>
      <c r="K30" s="49" t="s">
        <v>75</v>
      </c>
      <c r="L30" s="49" t="s">
        <v>76</v>
      </c>
      <c r="M30" s="50" t="s">
        <v>193</v>
      </c>
      <c r="N30" s="50"/>
      <c r="O30" s="49" t="s">
        <v>42</v>
      </c>
      <c r="P30" s="49" t="s">
        <v>36</v>
      </c>
      <c r="Q30" s="50" t="s">
        <v>60</v>
      </c>
      <c r="R30" s="50"/>
      <c r="S30" s="49">
        <v>700</v>
      </c>
      <c r="T30" s="49" t="str">
        <f>"417,7250"</f>
        <v>417,7250</v>
      </c>
      <c r="U30" s="49"/>
    </row>
    <row r="31" spans="1:21">
      <c r="A31" s="49" t="s">
        <v>374</v>
      </c>
      <c r="B31" s="49" t="s">
        <v>375</v>
      </c>
      <c r="C31" s="49" t="s">
        <v>376</v>
      </c>
      <c r="D31" s="49" t="str">
        <f>"0,5861"</f>
        <v>0,5861</v>
      </c>
      <c r="E31" s="49" t="s">
        <v>66</v>
      </c>
      <c r="F31" s="49" t="s">
        <v>148</v>
      </c>
      <c r="G31" s="49" t="s">
        <v>45</v>
      </c>
      <c r="H31" s="49" t="s">
        <v>32</v>
      </c>
      <c r="I31" s="50" t="s">
        <v>41</v>
      </c>
      <c r="J31" s="50"/>
      <c r="K31" s="49" t="s">
        <v>43</v>
      </c>
      <c r="L31" s="49" t="s">
        <v>44</v>
      </c>
      <c r="M31" s="49" t="s">
        <v>33</v>
      </c>
      <c r="N31" s="50"/>
      <c r="O31" s="49" t="s">
        <v>42</v>
      </c>
      <c r="P31" s="49" t="s">
        <v>60</v>
      </c>
      <c r="Q31" s="49" t="s">
        <v>58</v>
      </c>
      <c r="R31" s="50"/>
      <c r="S31" s="49">
        <v>665</v>
      </c>
      <c r="T31" s="49" t="str">
        <f>"389,7897"</f>
        <v>389,7897</v>
      </c>
      <c r="U31" s="49"/>
    </row>
    <row r="32" spans="1:21">
      <c r="A32" s="47" t="s">
        <v>377</v>
      </c>
      <c r="B32" s="47" t="s">
        <v>378</v>
      </c>
      <c r="C32" s="47" t="s">
        <v>379</v>
      </c>
      <c r="D32" s="47" t="str">
        <f>"0,5952"</f>
        <v>0,5952</v>
      </c>
      <c r="E32" s="47" t="s">
        <v>66</v>
      </c>
      <c r="F32" s="47" t="s">
        <v>148</v>
      </c>
      <c r="G32" s="47" t="s">
        <v>59</v>
      </c>
      <c r="H32" s="47" t="s">
        <v>380</v>
      </c>
      <c r="I32" s="48" t="s">
        <v>340</v>
      </c>
      <c r="J32" s="48"/>
      <c r="K32" s="47" t="s">
        <v>80</v>
      </c>
      <c r="L32" s="47" t="s">
        <v>338</v>
      </c>
      <c r="M32" s="47" t="s">
        <v>339</v>
      </c>
      <c r="N32" s="48"/>
      <c r="O32" s="47" t="s">
        <v>76</v>
      </c>
      <c r="P32" s="47" t="s">
        <v>30</v>
      </c>
      <c r="Q32" s="47" t="s">
        <v>371</v>
      </c>
      <c r="R32" s="48"/>
      <c r="S32" s="47">
        <v>505</v>
      </c>
      <c r="T32" s="47" t="str">
        <f>"300,5760"</f>
        <v>300,5760</v>
      </c>
      <c r="U32" s="47" t="s">
        <v>381</v>
      </c>
    </row>
    <row r="34" spans="1:21" ht="15">
      <c r="A34" s="52" t="s">
        <v>84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</row>
    <row r="35" spans="1:21">
      <c r="A35" s="45" t="s">
        <v>382</v>
      </c>
      <c r="B35" s="45" t="s">
        <v>383</v>
      </c>
      <c r="C35" s="45" t="s">
        <v>384</v>
      </c>
      <c r="D35" s="45" t="str">
        <f>"0,5635"</f>
        <v>0,5635</v>
      </c>
      <c r="E35" s="45" t="s">
        <v>17</v>
      </c>
      <c r="F35" s="45" t="s">
        <v>385</v>
      </c>
      <c r="G35" s="45" t="s">
        <v>30</v>
      </c>
      <c r="H35" s="46" t="s">
        <v>371</v>
      </c>
      <c r="I35" s="45" t="s">
        <v>371</v>
      </c>
      <c r="J35" s="46"/>
      <c r="K35" s="45" t="s">
        <v>43</v>
      </c>
      <c r="L35" s="46" t="s">
        <v>248</v>
      </c>
      <c r="M35" s="45" t="s">
        <v>248</v>
      </c>
      <c r="N35" s="46"/>
      <c r="O35" s="45" t="s">
        <v>45</v>
      </c>
      <c r="P35" s="45" t="s">
        <v>32</v>
      </c>
      <c r="Q35" s="46" t="s">
        <v>386</v>
      </c>
      <c r="R35" s="46"/>
      <c r="S35" s="45">
        <v>577.5</v>
      </c>
      <c r="T35" s="45" t="str">
        <f>"325,4212"</f>
        <v>325,4212</v>
      </c>
      <c r="U35" s="45"/>
    </row>
    <row r="36" spans="1:21">
      <c r="A36" s="47" t="s">
        <v>387</v>
      </c>
      <c r="B36" s="47" t="s">
        <v>388</v>
      </c>
      <c r="C36" s="47" t="s">
        <v>389</v>
      </c>
      <c r="D36" s="47" t="str">
        <f>"0,5629"</f>
        <v>0,5629</v>
      </c>
      <c r="E36" s="47" t="s">
        <v>66</v>
      </c>
      <c r="F36" s="47" t="s">
        <v>390</v>
      </c>
      <c r="G36" s="47" t="s">
        <v>30</v>
      </c>
      <c r="H36" s="47" t="s">
        <v>391</v>
      </c>
      <c r="I36" s="48" t="s">
        <v>52</v>
      </c>
      <c r="J36" s="48"/>
      <c r="K36" s="47" t="s">
        <v>50</v>
      </c>
      <c r="L36" s="47" t="s">
        <v>51</v>
      </c>
      <c r="M36" s="47" t="s">
        <v>359</v>
      </c>
      <c r="N36" s="48"/>
      <c r="O36" s="47" t="s">
        <v>30</v>
      </c>
      <c r="P36" s="47" t="s">
        <v>31</v>
      </c>
      <c r="Q36" s="48" t="s">
        <v>45</v>
      </c>
      <c r="R36" s="48"/>
      <c r="S36" s="47">
        <v>580</v>
      </c>
      <c r="T36" s="47" t="str">
        <f>"326,4820"</f>
        <v>326,4820</v>
      </c>
      <c r="U36" s="47"/>
    </row>
    <row r="38" spans="1:21" ht="15">
      <c r="E38" s="37" t="s">
        <v>93</v>
      </c>
    </row>
    <row r="39" spans="1:21" ht="15">
      <c r="E39" s="37" t="s">
        <v>94</v>
      </c>
    </row>
    <row r="40" spans="1:21" ht="15">
      <c r="E40" s="37" t="s">
        <v>95</v>
      </c>
    </row>
    <row r="41" spans="1:21">
      <c r="E41" s="34" t="s">
        <v>96</v>
      </c>
    </row>
    <row r="42" spans="1:21">
      <c r="E42" s="34" t="s">
        <v>97</v>
      </c>
    </row>
    <row r="43" spans="1:21">
      <c r="E43" s="34" t="s">
        <v>98</v>
      </c>
    </row>
    <row r="46" spans="1:21" ht="18">
      <c r="A46" s="38" t="s">
        <v>99</v>
      </c>
      <c r="B46" s="38"/>
    </row>
    <row r="47" spans="1:21" ht="15">
      <c r="A47" s="39" t="s">
        <v>100</v>
      </c>
      <c r="B47" s="39"/>
    </row>
    <row r="48" spans="1:21" ht="14.25">
      <c r="A48" s="41" t="s">
        <v>110</v>
      </c>
      <c r="B48" s="42"/>
    </row>
    <row r="49" spans="1:5" ht="15">
      <c r="A49" s="43" t="s">
        <v>0</v>
      </c>
      <c r="B49" s="43" t="s">
        <v>102</v>
      </c>
      <c r="C49" s="43" t="s">
        <v>103</v>
      </c>
      <c r="D49" s="43" t="s">
        <v>7</v>
      </c>
      <c r="E49" s="43" t="s">
        <v>104</v>
      </c>
    </row>
    <row r="50" spans="1:5">
      <c r="A50" s="40" t="s">
        <v>313</v>
      </c>
      <c r="B50" s="34" t="s">
        <v>110</v>
      </c>
      <c r="C50" s="34" t="s">
        <v>392</v>
      </c>
      <c r="D50" s="34" t="s">
        <v>393</v>
      </c>
      <c r="E50" s="44" t="s">
        <v>394</v>
      </c>
    </row>
    <row r="51" spans="1:5">
      <c r="A51" s="40" t="s">
        <v>320</v>
      </c>
      <c r="B51" s="34" t="s">
        <v>110</v>
      </c>
      <c r="C51" s="34" t="s">
        <v>280</v>
      </c>
      <c r="D51" s="34" t="s">
        <v>60</v>
      </c>
      <c r="E51" s="44" t="s">
        <v>395</v>
      </c>
    </row>
    <row r="54" spans="1:5" ht="15">
      <c r="A54" s="39" t="s">
        <v>109</v>
      </c>
      <c r="B54" s="39"/>
    </row>
    <row r="55" spans="1:5" ht="14.25">
      <c r="A55" s="41" t="s">
        <v>276</v>
      </c>
      <c r="B55" s="42"/>
    </row>
    <row r="56" spans="1:5" ht="15">
      <c r="A56" s="43" t="s">
        <v>0</v>
      </c>
      <c r="B56" s="43" t="s">
        <v>102</v>
      </c>
      <c r="C56" s="43" t="s">
        <v>103</v>
      </c>
      <c r="D56" s="43" t="s">
        <v>7</v>
      </c>
      <c r="E56" s="43" t="s">
        <v>104</v>
      </c>
    </row>
    <row r="57" spans="1:5">
      <c r="A57" s="40" t="s">
        <v>382</v>
      </c>
      <c r="B57" s="34" t="s">
        <v>277</v>
      </c>
      <c r="C57" s="34" t="s">
        <v>111</v>
      </c>
      <c r="D57" s="34" t="s">
        <v>396</v>
      </c>
      <c r="E57" s="44" t="s">
        <v>397</v>
      </c>
    </row>
    <row r="59" spans="1:5" ht="14.25">
      <c r="A59" s="41" t="s">
        <v>283</v>
      </c>
      <c r="B59" s="42"/>
    </row>
    <row r="60" spans="1:5" ht="15">
      <c r="A60" s="43" t="s">
        <v>0</v>
      </c>
      <c r="B60" s="43" t="s">
        <v>102</v>
      </c>
      <c r="C60" s="43" t="s">
        <v>103</v>
      </c>
      <c r="D60" s="43" t="s">
        <v>7</v>
      </c>
      <c r="E60" s="43" t="s">
        <v>104</v>
      </c>
    </row>
    <row r="61" spans="1:5">
      <c r="A61" s="40" t="s">
        <v>341</v>
      </c>
      <c r="B61" s="34" t="s">
        <v>284</v>
      </c>
      <c r="C61" s="34" t="s">
        <v>151</v>
      </c>
      <c r="D61" s="34" t="s">
        <v>398</v>
      </c>
      <c r="E61" s="44" t="s">
        <v>399</v>
      </c>
    </row>
    <row r="63" spans="1:5" ht="14.25">
      <c r="A63" s="41" t="s">
        <v>110</v>
      </c>
      <c r="B63" s="42"/>
    </row>
    <row r="64" spans="1:5" ht="15">
      <c r="A64" s="43" t="s">
        <v>0</v>
      </c>
      <c r="B64" s="43" t="s">
        <v>102</v>
      </c>
      <c r="C64" s="43" t="s">
        <v>103</v>
      </c>
      <c r="D64" s="43" t="s">
        <v>7</v>
      </c>
      <c r="E64" s="43" t="s">
        <v>104</v>
      </c>
    </row>
    <row r="65" spans="1:5">
      <c r="A65" s="40" t="s">
        <v>372</v>
      </c>
      <c r="B65" s="34" t="s">
        <v>110</v>
      </c>
      <c r="C65" s="34" t="s">
        <v>114</v>
      </c>
      <c r="D65" s="34" t="s">
        <v>400</v>
      </c>
      <c r="E65" s="44" t="s">
        <v>401</v>
      </c>
    </row>
    <row r="66" spans="1:5">
      <c r="A66" s="40" t="s">
        <v>374</v>
      </c>
      <c r="B66" s="34" t="s">
        <v>110</v>
      </c>
      <c r="C66" s="34" t="s">
        <v>114</v>
      </c>
      <c r="D66" s="34" t="s">
        <v>402</v>
      </c>
      <c r="E66" s="44" t="s">
        <v>403</v>
      </c>
    </row>
    <row r="67" spans="1:5">
      <c r="A67" s="40" t="s">
        <v>351</v>
      </c>
      <c r="B67" s="34" t="s">
        <v>110</v>
      </c>
      <c r="C67" s="34" t="s">
        <v>119</v>
      </c>
      <c r="D67" s="34" t="s">
        <v>396</v>
      </c>
      <c r="E67" s="44" t="s">
        <v>404</v>
      </c>
    </row>
    <row r="68" spans="1:5">
      <c r="A68" s="40" t="s">
        <v>355</v>
      </c>
      <c r="B68" s="34" t="s">
        <v>110</v>
      </c>
      <c r="C68" s="34" t="s">
        <v>119</v>
      </c>
      <c r="D68" s="34" t="s">
        <v>396</v>
      </c>
      <c r="E68" s="44" t="s">
        <v>405</v>
      </c>
    </row>
    <row r="69" spans="1:5">
      <c r="A69" s="40" t="s">
        <v>387</v>
      </c>
      <c r="B69" s="34" t="s">
        <v>110</v>
      </c>
      <c r="C69" s="34" t="s">
        <v>111</v>
      </c>
      <c r="D69" s="34" t="s">
        <v>406</v>
      </c>
      <c r="E69" s="44" t="s">
        <v>407</v>
      </c>
    </row>
    <row r="70" spans="1:5">
      <c r="A70" s="40" t="s">
        <v>330</v>
      </c>
      <c r="B70" s="34" t="s">
        <v>110</v>
      </c>
      <c r="C70" s="34" t="s">
        <v>106</v>
      </c>
      <c r="D70" s="34" t="s">
        <v>408</v>
      </c>
      <c r="E70" s="44" t="s">
        <v>409</v>
      </c>
    </row>
    <row r="71" spans="1:5">
      <c r="A71" s="40" t="s">
        <v>360</v>
      </c>
      <c r="B71" s="34" t="s">
        <v>110</v>
      </c>
      <c r="C71" s="34" t="s">
        <v>119</v>
      </c>
      <c r="D71" s="34" t="s">
        <v>410</v>
      </c>
      <c r="E71" s="44" t="s">
        <v>411</v>
      </c>
    </row>
    <row r="72" spans="1:5">
      <c r="A72" s="40" t="s">
        <v>335</v>
      </c>
      <c r="B72" s="34" t="s">
        <v>110</v>
      </c>
      <c r="C72" s="34" t="s">
        <v>106</v>
      </c>
      <c r="D72" s="34" t="s">
        <v>412</v>
      </c>
      <c r="E72" s="44" t="s">
        <v>413</v>
      </c>
    </row>
    <row r="73" spans="1:5">
      <c r="A73" s="40" t="s">
        <v>364</v>
      </c>
      <c r="B73" s="34" t="s">
        <v>110</v>
      </c>
      <c r="C73" s="34" t="s">
        <v>119</v>
      </c>
      <c r="D73" s="34" t="s">
        <v>414</v>
      </c>
      <c r="E73" s="44" t="s">
        <v>415</v>
      </c>
    </row>
    <row r="74" spans="1:5">
      <c r="A74" s="40" t="s">
        <v>347</v>
      </c>
      <c r="B74" s="34" t="s">
        <v>110</v>
      </c>
      <c r="C74" s="34" t="s">
        <v>151</v>
      </c>
      <c r="D74" s="34" t="s">
        <v>416</v>
      </c>
      <c r="E74" s="44" t="s">
        <v>417</v>
      </c>
    </row>
    <row r="76" spans="1:5" ht="14.25">
      <c r="A76" s="41" t="s">
        <v>101</v>
      </c>
      <c r="B76" s="42"/>
    </row>
    <row r="77" spans="1:5" ht="15">
      <c r="A77" s="43" t="s">
        <v>0</v>
      </c>
      <c r="B77" s="43" t="s">
        <v>102</v>
      </c>
      <c r="C77" s="43" t="s">
        <v>103</v>
      </c>
      <c r="D77" s="43" t="s">
        <v>7</v>
      </c>
      <c r="E77" s="43" t="s">
        <v>104</v>
      </c>
    </row>
    <row r="78" spans="1:5">
      <c r="A78" s="40" t="s">
        <v>377</v>
      </c>
      <c r="B78" s="34" t="s">
        <v>305</v>
      </c>
      <c r="C78" s="34" t="s">
        <v>114</v>
      </c>
      <c r="D78" s="34" t="s">
        <v>418</v>
      </c>
      <c r="E78" s="44" t="s">
        <v>419</v>
      </c>
    </row>
  </sheetData>
  <mergeCells count="21">
    <mergeCell ref="A11:T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8:T8"/>
    <mergeCell ref="A14:T14"/>
    <mergeCell ref="A18:T18"/>
    <mergeCell ref="A22:T22"/>
    <mergeCell ref="A28:T28"/>
    <mergeCell ref="A34:T3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activeCell="N13" sqref="N13"/>
    </sheetView>
  </sheetViews>
  <sheetFormatPr defaultRowHeight="12.75"/>
  <cols>
    <col min="1" max="1" width="27" style="34" bestFit="1" customWidth="1"/>
    <col min="2" max="2" width="26.85546875" style="34" bestFit="1" customWidth="1"/>
    <col min="3" max="3" width="7.7109375" style="34" bestFit="1" customWidth="1"/>
    <col min="4" max="4" width="6.85546875" style="34" bestFit="1" customWidth="1"/>
    <col min="5" max="5" width="17.28515625" style="34" bestFit="1" customWidth="1"/>
    <col min="6" max="6" width="27.28515625" style="34" bestFit="1" customWidth="1"/>
    <col min="7" max="7" width="5.5703125" style="34" bestFit="1" customWidth="1"/>
    <col min="8" max="9" width="2.140625" style="34" bestFit="1" customWidth="1"/>
    <col min="10" max="10" width="4.85546875" style="34" bestFit="1" customWidth="1"/>
    <col min="11" max="11" width="6.7109375" style="34" bestFit="1" customWidth="1"/>
    <col min="12" max="12" width="8.5703125" style="34" bestFit="1" customWidth="1"/>
    <col min="13" max="13" width="7.42578125" style="34" bestFit="1" customWidth="1"/>
  </cols>
  <sheetData>
    <row r="1" spans="1:13" s="1" customFormat="1" ht="15" customHeight="1">
      <c r="A1" s="53" t="s">
        <v>861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1" customFormat="1" ht="13.5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7" customFormat="1" ht="12.75" customHeight="1">
      <c r="A3" s="59" t="s">
        <v>0</v>
      </c>
      <c r="B3" s="61" t="s">
        <v>12</v>
      </c>
      <c r="C3" s="61" t="s">
        <v>11</v>
      </c>
      <c r="D3" s="63" t="s">
        <v>1</v>
      </c>
      <c r="E3" s="63" t="s">
        <v>2</v>
      </c>
      <c r="F3" s="64" t="s">
        <v>3</v>
      </c>
      <c r="G3" s="59" t="s">
        <v>6</v>
      </c>
      <c r="H3" s="63"/>
      <c r="I3" s="63"/>
      <c r="J3" s="66"/>
      <c r="K3" s="67" t="s">
        <v>7</v>
      </c>
      <c r="L3" s="63" t="s">
        <v>9</v>
      </c>
      <c r="M3" s="66" t="s">
        <v>8</v>
      </c>
    </row>
    <row r="4" spans="1:13" s="7" customFormat="1" ht="23.25" customHeight="1" thickBot="1">
      <c r="A4" s="60"/>
      <c r="B4" s="62"/>
      <c r="C4" s="62"/>
      <c r="D4" s="62"/>
      <c r="E4" s="62"/>
      <c r="F4" s="65"/>
      <c r="G4" s="3">
        <v>1</v>
      </c>
      <c r="H4" s="2">
        <v>2</v>
      </c>
      <c r="I4" s="2">
        <v>3</v>
      </c>
      <c r="J4" s="4" t="s">
        <v>10</v>
      </c>
      <c r="K4" s="68"/>
      <c r="L4" s="62"/>
      <c r="M4" s="69"/>
    </row>
    <row r="5" spans="1:13" ht="15">
      <c r="A5" s="70" t="s">
        <v>25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3">
      <c r="A6" s="45" t="s">
        <v>676</v>
      </c>
      <c r="B6" s="45" t="s">
        <v>677</v>
      </c>
      <c r="C6" s="45" t="s">
        <v>48</v>
      </c>
      <c r="D6" s="45" t="str">
        <f>"0,6133"</f>
        <v>0,6133</v>
      </c>
      <c r="E6" s="45" t="s">
        <v>589</v>
      </c>
      <c r="F6" s="45" t="s">
        <v>678</v>
      </c>
      <c r="G6" s="45" t="s">
        <v>708</v>
      </c>
      <c r="H6" s="46"/>
      <c r="I6" s="46"/>
      <c r="J6" s="46"/>
      <c r="K6" s="45">
        <v>232.5</v>
      </c>
      <c r="L6" s="45" t="str">
        <f>"142,6039"</f>
        <v>142,6039</v>
      </c>
      <c r="M6" s="45"/>
    </row>
    <row r="7" spans="1:13">
      <c r="A7" s="47" t="s">
        <v>676</v>
      </c>
      <c r="B7" s="47" t="s">
        <v>679</v>
      </c>
      <c r="C7" s="47" t="s">
        <v>48</v>
      </c>
      <c r="D7" s="47" t="str">
        <f>"0,7146"</f>
        <v>0,7146</v>
      </c>
      <c r="E7" s="47" t="s">
        <v>589</v>
      </c>
      <c r="F7" s="47" t="s">
        <v>678</v>
      </c>
      <c r="G7" s="47" t="s">
        <v>708</v>
      </c>
      <c r="H7" s="48"/>
      <c r="I7" s="48"/>
      <c r="J7" s="48"/>
      <c r="K7" s="47">
        <v>232.5</v>
      </c>
      <c r="L7" s="47" t="str">
        <f>"166,1335"</f>
        <v>166,1335</v>
      </c>
      <c r="M7" s="47"/>
    </row>
    <row r="9" spans="1:13" ht="15">
      <c r="E9" s="37" t="s">
        <v>93</v>
      </c>
    </row>
    <row r="10" spans="1:13" ht="15">
      <c r="E10" s="37" t="s">
        <v>94</v>
      </c>
    </row>
    <row r="11" spans="1:13" ht="15">
      <c r="E11" s="37" t="s">
        <v>95</v>
      </c>
    </row>
    <row r="12" spans="1:13">
      <c r="E12" s="34" t="s">
        <v>96</v>
      </c>
    </row>
    <row r="13" spans="1:13">
      <c r="E13" s="34" t="s">
        <v>97</v>
      </c>
    </row>
    <row r="14" spans="1:13">
      <c r="E14" s="34" t="s">
        <v>98</v>
      </c>
    </row>
    <row r="17" spans="1:5" ht="18">
      <c r="A17" s="38" t="s">
        <v>99</v>
      </c>
      <c r="B17" s="38"/>
    </row>
    <row r="18" spans="1:5" ht="15">
      <c r="A18" s="39" t="s">
        <v>109</v>
      </c>
      <c r="B18" s="39"/>
    </row>
    <row r="19" spans="1:5" ht="14.25">
      <c r="A19" s="41" t="s">
        <v>110</v>
      </c>
      <c r="B19" s="42"/>
    </row>
    <row r="20" spans="1:5" ht="15">
      <c r="A20" s="43" t="s">
        <v>0</v>
      </c>
      <c r="B20" s="43" t="s">
        <v>102</v>
      </c>
      <c r="C20" s="43" t="s">
        <v>103</v>
      </c>
      <c r="D20" s="43" t="s">
        <v>7</v>
      </c>
      <c r="E20" s="43" t="s">
        <v>104</v>
      </c>
    </row>
    <row r="21" spans="1:5">
      <c r="A21" s="40" t="s">
        <v>676</v>
      </c>
      <c r="B21" s="34" t="s">
        <v>110</v>
      </c>
      <c r="C21" s="34" t="s">
        <v>119</v>
      </c>
      <c r="D21" s="34" t="s">
        <v>708</v>
      </c>
      <c r="E21" s="44" t="s">
        <v>709</v>
      </c>
    </row>
    <row r="23" spans="1:5" ht="14.25">
      <c r="A23" s="41" t="s">
        <v>101</v>
      </c>
      <c r="B23" s="42"/>
    </row>
    <row r="24" spans="1:5" ht="15">
      <c r="A24" s="43" t="s">
        <v>0</v>
      </c>
      <c r="B24" s="43" t="s">
        <v>102</v>
      </c>
      <c r="C24" s="43" t="s">
        <v>103</v>
      </c>
      <c r="D24" s="43" t="s">
        <v>7</v>
      </c>
      <c r="E24" s="43" t="s">
        <v>104</v>
      </c>
    </row>
    <row r="25" spans="1:5">
      <c r="A25" s="40" t="s">
        <v>676</v>
      </c>
      <c r="B25" s="34" t="s">
        <v>611</v>
      </c>
      <c r="C25" s="34" t="s">
        <v>119</v>
      </c>
      <c r="D25" s="34" t="s">
        <v>708</v>
      </c>
      <c r="E25" s="44" t="s">
        <v>710</v>
      </c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6"/>
  <sheetViews>
    <sheetView workbookViewId="0">
      <selection activeCell="F127" sqref="F127"/>
    </sheetView>
  </sheetViews>
  <sheetFormatPr defaultRowHeight="12.75"/>
  <cols>
    <col min="1" max="1" width="27" style="34" bestFit="1" customWidth="1"/>
    <col min="2" max="2" width="26.85546875" style="34" bestFit="1" customWidth="1"/>
    <col min="3" max="3" width="7.7109375" style="34" bestFit="1" customWidth="1"/>
    <col min="4" max="4" width="6.85546875" style="34" bestFit="1" customWidth="1"/>
    <col min="5" max="5" width="18.7109375" style="34" bestFit="1" customWidth="1"/>
    <col min="6" max="6" width="45.5703125" style="34" bestFit="1" customWidth="1"/>
    <col min="7" max="10" width="5.5703125" style="34" bestFit="1" customWidth="1"/>
    <col min="11" max="11" width="6.7109375" style="34" bestFit="1" customWidth="1"/>
    <col min="12" max="12" width="8.5703125" style="34" bestFit="1" customWidth="1"/>
    <col min="13" max="13" width="15.28515625" style="34" bestFit="1" customWidth="1"/>
  </cols>
  <sheetData>
    <row r="1" spans="1:13" s="1" customFormat="1" ht="15" customHeight="1">
      <c r="A1" s="53" t="s">
        <v>848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1" customFormat="1" ht="13.5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7" customFormat="1" ht="12.75" customHeight="1">
      <c r="A3" s="59" t="s">
        <v>0</v>
      </c>
      <c r="B3" s="61" t="s">
        <v>12</v>
      </c>
      <c r="C3" s="61" t="s">
        <v>11</v>
      </c>
      <c r="D3" s="63" t="s">
        <v>1</v>
      </c>
      <c r="E3" s="63" t="s">
        <v>2</v>
      </c>
      <c r="F3" s="64" t="s">
        <v>3</v>
      </c>
      <c r="G3" s="59" t="s">
        <v>5</v>
      </c>
      <c r="H3" s="63"/>
      <c r="I3" s="63"/>
      <c r="J3" s="66"/>
      <c r="K3" s="67" t="s">
        <v>7</v>
      </c>
      <c r="L3" s="63" t="s">
        <v>9</v>
      </c>
      <c r="M3" s="66" t="s">
        <v>8</v>
      </c>
    </row>
    <row r="4" spans="1:13" s="7" customFormat="1" ht="23.25" customHeight="1" thickBot="1">
      <c r="A4" s="60"/>
      <c r="B4" s="62"/>
      <c r="C4" s="62"/>
      <c r="D4" s="62"/>
      <c r="E4" s="62"/>
      <c r="F4" s="65"/>
      <c r="G4" s="3">
        <v>1</v>
      </c>
      <c r="H4" s="2">
        <v>2</v>
      </c>
      <c r="I4" s="2">
        <v>3</v>
      </c>
      <c r="J4" s="4" t="s">
        <v>10</v>
      </c>
      <c r="K4" s="68"/>
      <c r="L4" s="62"/>
      <c r="M4" s="69"/>
    </row>
    <row r="5" spans="1:13" ht="15">
      <c r="A5" s="70" t="s">
        <v>312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3">
      <c r="A6" s="35" t="s">
        <v>420</v>
      </c>
      <c r="B6" s="35" t="s">
        <v>421</v>
      </c>
      <c r="C6" s="35" t="s">
        <v>422</v>
      </c>
      <c r="D6" s="35" t="str">
        <f>"1,1846"</f>
        <v>1,1846</v>
      </c>
      <c r="E6" s="35" t="s">
        <v>17</v>
      </c>
      <c r="F6" s="35" t="s">
        <v>148</v>
      </c>
      <c r="G6" s="35" t="s">
        <v>137</v>
      </c>
      <c r="H6" s="35" t="s">
        <v>22</v>
      </c>
      <c r="I6" s="36" t="s">
        <v>423</v>
      </c>
      <c r="J6" s="36"/>
      <c r="K6" s="35">
        <v>70</v>
      </c>
      <c r="L6" s="35" t="str">
        <f>"82,9220"</f>
        <v>82,9220</v>
      </c>
      <c r="M6" s="35"/>
    </row>
    <row r="8" spans="1:13" ht="15">
      <c r="A8" s="52" t="s">
        <v>156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3">
      <c r="A9" s="35" t="s">
        <v>424</v>
      </c>
      <c r="B9" s="35" t="s">
        <v>425</v>
      </c>
      <c r="C9" s="35" t="s">
        <v>426</v>
      </c>
      <c r="D9" s="35" t="str">
        <f>"1,1101"</f>
        <v>1,1101</v>
      </c>
      <c r="E9" s="35" t="s">
        <v>427</v>
      </c>
      <c r="F9" s="35" t="s">
        <v>148</v>
      </c>
      <c r="G9" s="36" t="s">
        <v>169</v>
      </c>
      <c r="H9" s="36" t="s">
        <v>169</v>
      </c>
      <c r="I9" s="36" t="s">
        <v>318</v>
      </c>
      <c r="J9" s="36"/>
      <c r="K9" s="35">
        <v>0</v>
      </c>
      <c r="L9" s="35" t="str">
        <f>"0,0000"</f>
        <v>0,0000</v>
      </c>
      <c r="M9" s="35"/>
    </row>
    <row r="11" spans="1:13" ht="15">
      <c r="A11" s="52" t="s">
        <v>164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3">
      <c r="A12" s="35" t="s">
        <v>428</v>
      </c>
      <c r="B12" s="35" t="s">
        <v>429</v>
      </c>
      <c r="C12" s="35" t="s">
        <v>430</v>
      </c>
      <c r="D12" s="35" t="str">
        <f>"1,0545"</f>
        <v>1,0545</v>
      </c>
      <c r="E12" s="35" t="s">
        <v>427</v>
      </c>
      <c r="F12" s="35" t="s">
        <v>148</v>
      </c>
      <c r="G12" s="35" t="s">
        <v>21</v>
      </c>
      <c r="H12" s="36" t="s">
        <v>431</v>
      </c>
      <c r="I12" s="36" t="s">
        <v>431</v>
      </c>
      <c r="J12" s="36"/>
      <c r="K12" s="35">
        <v>37.5</v>
      </c>
      <c r="L12" s="35" t="str">
        <f>"39,5437"</f>
        <v>39,5437</v>
      </c>
      <c r="M12" s="35"/>
    </row>
    <row r="14" spans="1:13" ht="15">
      <c r="A14" s="52" t="s">
        <v>171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3">
      <c r="A15" s="35" t="s">
        <v>432</v>
      </c>
      <c r="B15" s="35" t="s">
        <v>433</v>
      </c>
      <c r="C15" s="35" t="s">
        <v>434</v>
      </c>
      <c r="D15" s="35" t="str">
        <f>"0,9200"</f>
        <v>0,9200</v>
      </c>
      <c r="E15" s="35" t="s">
        <v>17</v>
      </c>
      <c r="F15" s="35" t="s">
        <v>148</v>
      </c>
      <c r="G15" s="35" t="s">
        <v>350</v>
      </c>
      <c r="H15" s="35" t="s">
        <v>316</v>
      </c>
      <c r="I15" s="36" t="s">
        <v>324</v>
      </c>
      <c r="J15" s="36"/>
      <c r="K15" s="35">
        <v>100</v>
      </c>
      <c r="L15" s="35" t="str">
        <f>"91,9950"</f>
        <v>91,9950</v>
      </c>
      <c r="M15" s="35"/>
    </row>
    <row r="17" spans="1:13" ht="15">
      <c r="A17" s="52" t="s">
        <v>13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spans="1:13">
      <c r="A18" s="35" t="s">
        <v>435</v>
      </c>
      <c r="B18" s="35" t="s">
        <v>436</v>
      </c>
      <c r="C18" s="35" t="s">
        <v>437</v>
      </c>
      <c r="D18" s="35" t="str">
        <f>"0,8555"</f>
        <v>0,8555</v>
      </c>
      <c r="E18" s="35" t="s">
        <v>66</v>
      </c>
      <c r="F18" s="35" t="s">
        <v>209</v>
      </c>
      <c r="G18" s="36" t="s">
        <v>162</v>
      </c>
      <c r="H18" s="36" t="s">
        <v>163</v>
      </c>
      <c r="I18" s="35" t="s">
        <v>163</v>
      </c>
      <c r="J18" s="36"/>
      <c r="K18" s="35">
        <v>65</v>
      </c>
      <c r="L18" s="35" t="str">
        <f>"55,6075"</f>
        <v>55,6075</v>
      </c>
      <c r="M18" s="35" t="s">
        <v>381</v>
      </c>
    </row>
    <row r="20" spans="1:13" ht="15">
      <c r="A20" s="52" t="s">
        <v>438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</row>
    <row r="21" spans="1:13">
      <c r="A21" s="35" t="s">
        <v>439</v>
      </c>
      <c r="B21" s="35" t="s">
        <v>440</v>
      </c>
      <c r="C21" s="35" t="s">
        <v>441</v>
      </c>
      <c r="D21" s="35" t="str">
        <f>"0,8293"</f>
        <v>0,8293</v>
      </c>
      <c r="E21" s="35" t="s">
        <v>17</v>
      </c>
      <c r="F21" s="35" t="s">
        <v>148</v>
      </c>
      <c r="G21" s="35" t="s">
        <v>187</v>
      </c>
      <c r="H21" s="35" t="s">
        <v>188</v>
      </c>
      <c r="I21" s="36" t="s">
        <v>350</v>
      </c>
      <c r="J21" s="36"/>
      <c r="K21" s="35">
        <v>90</v>
      </c>
      <c r="L21" s="35" t="str">
        <f>"74,6375"</f>
        <v>74,6375</v>
      </c>
      <c r="M21" s="35"/>
    </row>
    <row r="23" spans="1:13" ht="15">
      <c r="A23" s="52" t="s">
        <v>171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3">
      <c r="A24" s="35" t="s">
        <v>442</v>
      </c>
      <c r="B24" s="35" t="s">
        <v>443</v>
      </c>
      <c r="C24" s="35" t="s">
        <v>444</v>
      </c>
      <c r="D24" s="35" t="str">
        <f>"0,7874"</f>
        <v>0,7874</v>
      </c>
      <c r="E24" s="35" t="s">
        <v>17</v>
      </c>
      <c r="F24" s="35" t="s">
        <v>148</v>
      </c>
      <c r="G24" s="35" t="s">
        <v>324</v>
      </c>
      <c r="H24" s="35" t="s">
        <v>317</v>
      </c>
      <c r="I24" s="35" t="s">
        <v>247</v>
      </c>
      <c r="J24" s="36"/>
      <c r="K24" s="35">
        <v>110</v>
      </c>
      <c r="L24" s="35" t="str">
        <f>"86,6140"</f>
        <v>86,6140</v>
      </c>
      <c r="M24" s="35"/>
    </row>
    <row r="26" spans="1:13" ht="15">
      <c r="A26" s="52" t="s">
        <v>13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spans="1:13">
      <c r="A27" s="45" t="s">
        <v>445</v>
      </c>
      <c r="B27" s="45" t="s">
        <v>446</v>
      </c>
      <c r="C27" s="45" t="s">
        <v>447</v>
      </c>
      <c r="D27" s="45" t="str">
        <f>"0,7019"</f>
        <v>0,7019</v>
      </c>
      <c r="E27" s="45" t="s">
        <v>17</v>
      </c>
      <c r="F27" s="45" t="s">
        <v>202</v>
      </c>
      <c r="G27" s="45" t="s">
        <v>334</v>
      </c>
      <c r="H27" s="45" t="s">
        <v>81</v>
      </c>
      <c r="I27" s="46" t="s">
        <v>338</v>
      </c>
      <c r="J27" s="46"/>
      <c r="K27" s="45">
        <v>120</v>
      </c>
      <c r="L27" s="45" t="str">
        <f>"84,2280"</f>
        <v>84,2280</v>
      </c>
      <c r="M27" s="45"/>
    </row>
    <row r="28" spans="1:13">
      <c r="A28" s="49" t="s">
        <v>448</v>
      </c>
      <c r="B28" s="49" t="s">
        <v>449</v>
      </c>
      <c r="C28" s="49" t="s">
        <v>450</v>
      </c>
      <c r="D28" s="49" t="str">
        <f>"0,7117"</f>
        <v>0,7117</v>
      </c>
      <c r="E28" s="49" t="s">
        <v>17</v>
      </c>
      <c r="F28" s="49" t="s">
        <v>89</v>
      </c>
      <c r="G28" s="49" t="s">
        <v>186</v>
      </c>
      <c r="H28" s="49" t="s">
        <v>188</v>
      </c>
      <c r="I28" s="50" t="s">
        <v>316</v>
      </c>
      <c r="J28" s="50"/>
      <c r="K28" s="49">
        <v>90</v>
      </c>
      <c r="L28" s="49" t="str">
        <f>"64,0530"</f>
        <v>64,0530</v>
      </c>
      <c r="M28" s="49" t="s">
        <v>451</v>
      </c>
    </row>
    <row r="29" spans="1:13">
      <c r="A29" s="49" t="s">
        <v>452</v>
      </c>
      <c r="B29" s="49" t="s">
        <v>453</v>
      </c>
      <c r="C29" s="49" t="s">
        <v>133</v>
      </c>
      <c r="D29" s="49" t="str">
        <f>"0,6983"</f>
        <v>0,6983</v>
      </c>
      <c r="E29" s="49" t="s">
        <v>454</v>
      </c>
      <c r="F29" s="49" t="s">
        <v>148</v>
      </c>
      <c r="G29" s="49" t="s">
        <v>186</v>
      </c>
      <c r="H29" s="49" t="s">
        <v>187</v>
      </c>
      <c r="I29" s="49" t="s">
        <v>188</v>
      </c>
      <c r="J29" s="50"/>
      <c r="K29" s="49">
        <v>90</v>
      </c>
      <c r="L29" s="49" t="str">
        <f>"62,8470"</f>
        <v>62,8470</v>
      </c>
      <c r="M29" s="49"/>
    </row>
    <row r="30" spans="1:13">
      <c r="A30" s="49" t="s">
        <v>455</v>
      </c>
      <c r="B30" s="49" t="s">
        <v>456</v>
      </c>
      <c r="C30" s="49" t="s">
        <v>457</v>
      </c>
      <c r="D30" s="49" t="str">
        <f>"0,7049"</f>
        <v>0,7049</v>
      </c>
      <c r="E30" s="49" t="s">
        <v>427</v>
      </c>
      <c r="F30" s="49" t="s">
        <v>148</v>
      </c>
      <c r="G30" s="49" t="s">
        <v>316</v>
      </c>
      <c r="H30" s="49" t="s">
        <v>247</v>
      </c>
      <c r="I30" s="49" t="s">
        <v>325</v>
      </c>
      <c r="J30" s="50"/>
      <c r="K30" s="49">
        <v>112.5</v>
      </c>
      <c r="L30" s="49" t="str">
        <f>"79,2956"</f>
        <v>79,2956</v>
      </c>
      <c r="M30" s="49"/>
    </row>
    <row r="31" spans="1:13">
      <c r="A31" s="49" t="s">
        <v>458</v>
      </c>
      <c r="B31" s="49" t="s">
        <v>459</v>
      </c>
      <c r="C31" s="49" t="s">
        <v>460</v>
      </c>
      <c r="D31" s="49" t="str">
        <f>"0,7297"</f>
        <v>0,7297</v>
      </c>
      <c r="E31" s="49" t="s">
        <v>17</v>
      </c>
      <c r="F31" s="49" t="s">
        <v>461</v>
      </c>
      <c r="G31" s="49" t="s">
        <v>350</v>
      </c>
      <c r="H31" s="50" t="s">
        <v>324</v>
      </c>
      <c r="I31" s="49" t="s">
        <v>324</v>
      </c>
      <c r="J31" s="50"/>
      <c r="K31" s="49">
        <v>105</v>
      </c>
      <c r="L31" s="49" t="str">
        <f>"76,6133"</f>
        <v>76,6133</v>
      </c>
      <c r="M31" s="49"/>
    </row>
    <row r="32" spans="1:13">
      <c r="A32" s="49" t="s">
        <v>462</v>
      </c>
      <c r="B32" s="49" t="s">
        <v>463</v>
      </c>
      <c r="C32" s="49" t="s">
        <v>464</v>
      </c>
      <c r="D32" s="49" t="str">
        <f>"0,6906"</f>
        <v>0,6906</v>
      </c>
      <c r="E32" s="49" t="s">
        <v>17</v>
      </c>
      <c r="F32" s="49" t="s">
        <v>148</v>
      </c>
      <c r="G32" s="49" t="s">
        <v>135</v>
      </c>
      <c r="H32" s="49" t="s">
        <v>50</v>
      </c>
      <c r="I32" s="49" t="s">
        <v>243</v>
      </c>
      <c r="J32" s="50"/>
      <c r="K32" s="49">
        <v>137.5</v>
      </c>
      <c r="L32" s="49" t="str">
        <f>"94,9575"</f>
        <v>94,9575</v>
      </c>
      <c r="M32" s="49"/>
    </row>
    <row r="33" spans="1:13">
      <c r="A33" s="49" t="s">
        <v>465</v>
      </c>
      <c r="B33" s="49" t="s">
        <v>466</v>
      </c>
      <c r="C33" s="49" t="s">
        <v>467</v>
      </c>
      <c r="D33" s="49" t="str">
        <f>"0,6975"</f>
        <v>0,6975</v>
      </c>
      <c r="E33" s="49" t="s">
        <v>17</v>
      </c>
      <c r="F33" s="49" t="s">
        <v>468</v>
      </c>
      <c r="G33" s="49" t="s">
        <v>50</v>
      </c>
      <c r="H33" s="50" t="s">
        <v>51</v>
      </c>
      <c r="I33" s="50" t="s">
        <v>51</v>
      </c>
      <c r="J33" s="50"/>
      <c r="K33" s="49">
        <v>135</v>
      </c>
      <c r="L33" s="49" t="str">
        <f>"94,1692"</f>
        <v>94,1692</v>
      </c>
      <c r="M33" s="49"/>
    </row>
    <row r="34" spans="1:13">
      <c r="A34" s="49" t="s">
        <v>469</v>
      </c>
      <c r="B34" s="49" t="s">
        <v>470</v>
      </c>
      <c r="C34" s="49" t="s">
        <v>471</v>
      </c>
      <c r="D34" s="49" t="str">
        <f>"0,6892"</f>
        <v>0,6892</v>
      </c>
      <c r="E34" s="49" t="s">
        <v>17</v>
      </c>
      <c r="F34" s="49" t="s">
        <v>148</v>
      </c>
      <c r="G34" s="50" t="s">
        <v>135</v>
      </c>
      <c r="H34" s="49" t="s">
        <v>50</v>
      </c>
      <c r="I34" s="50" t="s">
        <v>43</v>
      </c>
      <c r="J34" s="50"/>
      <c r="K34" s="49">
        <v>135</v>
      </c>
      <c r="L34" s="49" t="str">
        <f>"93,0420"</f>
        <v>93,0420</v>
      </c>
      <c r="M34" s="49"/>
    </row>
    <row r="35" spans="1:13">
      <c r="A35" s="49" t="s">
        <v>330</v>
      </c>
      <c r="B35" s="49" t="s">
        <v>331</v>
      </c>
      <c r="C35" s="49" t="s">
        <v>332</v>
      </c>
      <c r="D35" s="49" t="str">
        <f>"0,7140"</f>
        <v>0,7140</v>
      </c>
      <c r="E35" s="49" t="s">
        <v>17</v>
      </c>
      <c r="F35" s="49" t="s">
        <v>333</v>
      </c>
      <c r="G35" s="49" t="s">
        <v>247</v>
      </c>
      <c r="H35" s="49" t="s">
        <v>334</v>
      </c>
      <c r="I35" s="50" t="s">
        <v>81</v>
      </c>
      <c r="J35" s="50"/>
      <c r="K35" s="49">
        <v>117.5</v>
      </c>
      <c r="L35" s="49" t="str">
        <f>"83,9009"</f>
        <v>83,9009</v>
      </c>
      <c r="M35" s="49"/>
    </row>
    <row r="36" spans="1:13">
      <c r="A36" s="49" t="s">
        <v>472</v>
      </c>
      <c r="B36" s="49" t="s">
        <v>473</v>
      </c>
      <c r="C36" s="49" t="s">
        <v>437</v>
      </c>
      <c r="D36" s="49" t="str">
        <f>"0,7064"</f>
        <v>0,7064</v>
      </c>
      <c r="E36" s="49" t="s">
        <v>17</v>
      </c>
      <c r="F36" s="49" t="s">
        <v>148</v>
      </c>
      <c r="G36" s="50" t="s">
        <v>334</v>
      </c>
      <c r="H36" s="49" t="s">
        <v>334</v>
      </c>
      <c r="I36" s="50"/>
      <c r="J36" s="50"/>
      <c r="K36" s="49">
        <v>117.5</v>
      </c>
      <c r="L36" s="49" t="str">
        <f>"83,0020"</f>
        <v>83,0020</v>
      </c>
      <c r="M36" s="49"/>
    </row>
    <row r="37" spans="1:13">
      <c r="A37" s="49" t="s">
        <v>474</v>
      </c>
      <c r="B37" s="49" t="s">
        <v>475</v>
      </c>
      <c r="C37" s="49" t="s">
        <v>337</v>
      </c>
      <c r="D37" s="49" t="str">
        <f>"0,7056"</f>
        <v>0,7056</v>
      </c>
      <c r="E37" s="49" t="s">
        <v>476</v>
      </c>
      <c r="F37" s="49" t="s">
        <v>477</v>
      </c>
      <c r="G37" s="49" t="s">
        <v>247</v>
      </c>
      <c r="H37" s="49" t="s">
        <v>334</v>
      </c>
      <c r="I37" s="50"/>
      <c r="J37" s="50"/>
      <c r="K37" s="49">
        <v>117.5</v>
      </c>
      <c r="L37" s="49" t="str">
        <f>"82,9139"</f>
        <v>82,9139</v>
      </c>
      <c r="M37" s="49" t="s">
        <v>478</v>
      </c>
    </row>
    <row r="38" spans="1:13">
      <c r="A38" s="49" t="s">
        <v>479</v>
      </c>
      <c r="B38" s="49" t="s">
        <v>480</v>
      </c>
      <c r="C38" s="49" t="s">
        <v>481</v>
      </c>
      <c r="D38" s="49" t="str">
        <f>"0,6990"</f>
        <v>0,6990</v>
      </c>
      <c r="E38" s="49" t="s">
        <v>17</v>
      </c>
      <c r="F38" s="49" t="s">
        <v>482</v>
      </c>
      <c r="G38" s="49" t="s">
        <v>334</v>
      </c>
      <c r="H38" s="50" t="s">
        <v>50</v>
      </c>
      <c r="I38" s="50" t="s">
        <v>50</v>
      </c>
      <c r="J38" s="50"/>
      <c r="K38" s="49">
        <v>117.5</v>
      </c>
      <c r="L38" s="49" t="str">
        <f>"82,1325"</f>
        <v>82,1325</v>
      </c>
      <c r="M38" s="49"/>
    </row>
    <row r="39" spans="1:13">
      <c r="A39" s="49" t="s">
        <v>483</v>
      </c>
      <c r="B39" s="49" t="s">
        <v>484</v>
      </c>
      <c r="C39" s="49" t="s">
        <v>485</v>
      </c>
      <c r="D39" s="49" t="str">
        <f>"0,6934"</f>
        <v>0,6934</v>
      </c>
      <c r="E39" s="49" t="s">
        <v>17</v>
      </c>
      <c r="F39" s="49" t="s">
        <v>486</v>
      </c>
      <c r="G39" s="49" t="s">
        <v>325</v>
      </c>
      <c r="H39" s="49" t="s">
        <v>334</v>
      </c>
      <c r="I39" s="50" t="s">
        <v>345</v>
      </c>
      <c r="J39" s="50"/>
      <c r="K39" s="49">
        <v>117.5</v>
      </c>
      <c r="L39" s="49" t="str">
        <f>"81,4686"</f>
        <v>81,4686</v>
      </c>
      <c r="M39" s="49"/>
    </row>
    <row r="40" spans="1:13">
      <c r="A40" s="49" t="s">
        <v>487</v>
      </c>
      <c r="B40" s="49" t="s">
        <v>488</v>
      </c>
      <c r="C40" s="49" t="s">
        <v>489</v>
      </c>
      <c r="D40" s="49" t="str">
        <f>"0,7079"</f>
        <v>0,7079</v>
      </c>
      <c r="E40" s="49" t="s">
        <v>17</v>
      </c>
      <c r="F40" s="49" t="s">
        <v>148</v>
      </c>
      <c r="G40" s="50" t="s">
        <v>316</v>
      </c>
      <c r="H40" s="50" t="s">
        <v>324</v>
      </c>
      <c r="I40" s="50" t="s">
        <v>324</v>
      </c>
      <c r="J40" s="50"/>
      <c r="K40" s="49">
        <v>0</v>
      </c>
      <c r="L40" s="49" t="str">
        <f>"0,0000"</f>
        <v>0,0000</v>
      </c>
      <c r="M40" s="49"/>
    </row>
    <row r="41" spans="1:13">
      <c r="A41" s="49" t="s">
        <v>490</v>
      </c>
      <c r="B41" s="49" t="s">
        <v>491</v>
      </c>
      <c r="C41" s="49" t="s">
        <v>492</v>
      </c>
      <c r="D41" s="49" t="str">
        <f>"0,7058"</f>
        <v>0,7058</v>
      </c>
      <c r="E41" s="49" t="s">
        <v>17</v>
      </c>
      <c r="F41" s="49" t="s">
        <v>148</v>
      </c>
      <c r="G41" s="49" t="s">
        <v>324</v>
      </c>
      <c r="H41" s="49" t="s">
        <v>334</v>
      </c>
      <c r="I41" s="50" t="s">
        <v>81</v>
      </c>
      <c r="J41" s="50"/>
      <c r="K41" s="49">
        <v>117.5</v>
      </c>
      <c r="L41" s="49" t="str">
        <f>"82,9302"</f>
        <v>82,9302</v>
      </c>
      <c r="M41" s="49"/>
    </row>
    <row r="42" spans="1:13">
      <c r="A42" s="47" t="s">
        <v>493</v>
      </c>
      <c r="B42" s="47" t="s">
        <v>494</v>
      </c>
      <c r="C42" s="47" t="s">
        <v>495</v>
      </c>
      <c r="D42" s="47" t="str">
        <f>"0,7141"</f>
        <v>0,7141</v>
      </c>
      <c r="E42" s="47" t="s">
        <v>17</v>
      </c>
      <c r="F42" s="47" t="s">
        <v>40</v>
      </c>
      <c r="G42" s="47" t="s">
        <v>188</v>
      </c>
      <c r="H42" s="47" t="s">
        <v>350</v>
      </c>
      <c r="I42" s="48" t="s">
        <v>316</v>
      </c>
      <c r="J42" s="48"/>
      <c r="K42" s="47">
        <v>95</v>
      </c>
      <c r="L42" s="47" t="str">
        <f>"67,8416"</f>
        <v>67,8416</v>
      </c>
      <c r="M42" s="47"/>
    </row>
    <row r="44" spans="1:13" ht="15">
      <c r="A44" s="52" t="s">
        <v>139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1:13">
      <c r="A45" s="45" t="s">
        <v>496</v>
      </c>
      <c r="B45" s="45" t="s">
        <v>497</v>
      </c>
      <c r="C45" s="45" t="s">
        <v>498</v>
      </c>
      <c r="D45" s="45" t="str">
        <f>"0,6618"</f>
        <v>0,6618</v>
      </c>
      <c r="E45" s="45" t="s">
        <v>17</v>
      </c>
      <c r="F45" s="45" t="s">
        <v>499</v>
      </c>
      <c r="G45" s="45" t="s">
        <v>51</v>
      </c>
      <c r="H45" s="45" t="s">
        <v>44</v>
      </c>
      <c r="I45" s="45" t="s">
        <v>359</v>
      </c>
      <c r="J45" s="46"/>
      <c r="K45" s="45">
        <v>152.5</v>
      </c>
      <c r="L45" s="45" t="str">
        <f>"100,9169"</f>
        <v>100,9169</v>
      </c>
      <c r="M45" s="45"/>
    </row>
    <row r="46" spans="1:13">
      <c r="A46" s="49" t="s">
        <v>500</v>
      </c>
      <c r="B46" s="49" t="s">
        <v>501</v>
      </c>
      <c r="C46" s="49" t="s">
        <v>502</v>
      </c>
      <c r="D46" s="49" t="str">
        <f>"0,6561"</f>
        <v>0,6561</v>
      </c>
      <c r="E46" s="49" t="s">
        <v>17</v>
      </c>
      <c r="F46" s="49" t="s">
        <v>503</v>
      </c>
      <c r="G46" s="49" t="s">
        <v>69</v>
      </c>
      <c r="H46" s="49" t="s">
        <v>75</v>
      </c>
      <c r="I46" s="49" t="s">
        <v>70</v>
      </c>
      <c r="J46" s="50"/>
      <c r="K46" s="49">
        <v>175</v>
      </c>
      <c r="L46" s="49" t="str">
        <f>"114,8262"</f>
        <v>114,8262</v>
      </c>
      <c r="M46" s="49"/>
    </row>
    <row r="47" spans="1:13">
      <c r="A47" s="49" t="s">
        <v>504</v>
      </c>
      <c r="B47" s="49" t="s">
        <v>505</v>
      </c>
      <c r="C47" s="49" t="s">
        <v>197</v>
      </c>
      <c r="D47" s="49" t="str">
        <f>"0,6550"</f>
        <v>0,6550</v>
      </c>
      <c r="E47" s="49" t="s">
        <v>17</v>
      </c>
      <c r="F47" s="49" t="s">
        <v>148</v>
      </c>
      <c r="G47" s="49" t="s">
        <v>345</v>
      </c>
      <c r="H47" s="49" t="s">
        <v>339</v>
      </c>
      <c r="I47" s="49" t="s">
        <v>135</v>
      </c>
      <c r="J47" s="50"/>
      <c r="K47" s="49">
        <v>130</v>
      </c>
      <c r="L47" s="49" t="str">
        <f>"85,1565"</f>
        <v>85,1565</v>
      </c>
      <c r="M47" s="49"/>
    </row>
    <row r="48" spans="1:13">
      <c r="A48" s="49" t="s">
        <v>506</v>
      </c>
      <c r="B48" s="49" t="s">
        <v>507</v>
      </c>
      <c r="C48" s="49" t="s">
        <v>508</v>
      </c>
      <c r="D48" s="49" t="str">
        <f>"0,6535"</f>
        <v>0,6535</v>
      </c>
      <c r="E48" s="49" t="s">
        <v>17</v>
      </c>
      <c r="F48" s="49" t="s">
        <v>237</v>
      </c>
      <c r="G48" s="49" t="s">
        <v>81</v>
      </c>
      <c r="H48" s="49" t="s">
        <v>338</v>
      </c>
      <c r="I48" s="50" t="s">
        <v>339</v>
      </c>
      <c r="J48" s="50"/>
      <c r="K48" s="49">
        <v>125</v>
      </c>
      <c r="L48" s="49" t="str">
        <f>"81,6813"</f>
        <v>81,6813</v>
      </c>
      <c r="M48" s="49"/>
    </row>
    <row r="49" spans="1:13">
      <c r="A49" s="47" t="s">
        <v>509</v>
      </c>
      <c r="B49" s="47" t="s">
        <v>510</v>
      </c>
      <c r="C49" s="47" t="s">
        <v>142</v>
      </c>
      <c r="D49" s="47" t="str">
        <f>"0,6446"</f>
        <v>0,6446</v>
      </c>
      <c r="E49" s="47" t="s">
        <v>17</v>
      </c>
      <c r="F49" s="47" t="s">
        <v>511</v>
      </c>
      <c r="G49" s="48" t="s">
        <v>512</v>
      </c>
      <c r="H49" s="47" t="s">
        <v>512</v>
      </c>
      <c r="I49" s="47" t="s">
        <v>324</v>
      </c>
      <c r="J49" s="48"/>
      <c r="K49" s="47">
        <v>105</v>
      </c>
      <c r="L49" s="47" t="str">
        <f>"67,6830"</f>
        <v>67,6830</v>
      </c>
      <c r="M49" s="47"/>
    </row>
    <row r="51" spans="1:13" ht="15">
      <c r="A51" s="52" t="s">
        <v>25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</row>
    <row r="52" spans="1:13">
      <c r="A52" s="45" t="s">
        <v>513</v>
      </c>
      <c r="B52" s="45" t="s">
        <v>514</v>
      </c>
      <c r="C52" s="45" t="s">
        <v>515</v>
      </c>
      <c r="D52" s="45" t="str">
        <f>"0,6161"</f>
        <v>0,6161</v>
      </c>
      <c r="E52" s="45" t="s">
        <v>17</v>
      </c>
      <c r="F52" s="45" t="s">
        <v>148</v>
      </c>
      <c r="G52" s="45" t="s">
        <v>51</v>
      </c>
      <c r="H52" s="46" t="s">
        <v>359</v>
      </c>
      <c r="I52" s="46" t="s">
        <v>359</v>
      </c>
      <c r="J52" s="46"/>
      <c r="K52" s="45">
        <v>145</v>
      </c>
      <c r="L52" s="45" t="str">
        <f>"89,3273"</f>
        <v>89,3273</v>
      </c>
      <c r="M52" s="45"/>
    </row>
    <row r="53" spans="1:13">
      <c r="A53" s="49" t="s">
        <v>516</v>
      </c>
      <c r="B53" s="49" t="s">
        <v>517</v>
      </c>
      <c r="C53" s="49" t="s">
        <v>518</v>
      </c>
      <c r="D53" s="49" t="str">
        <f>"0,6247"</f>
        <v>0,6247</v>
      </c>
      <c r="E53" s="49" t="s">
        <v>17</v>
      </c>
      <c r="F53" s="49" t="s">
        <v>237</v>
      </c>
      <c r="G53" s="50" t="s">
        <v>359</v>
      </c>
      <c r="H53" s="49" t="s">
        <v>33</v>
      </c>
      <c r="I53" s="49" t="s">
        <v>69</v>
      </c>
      <c r="J53" s="50"/>
      <c r="K53" s="49">
        <v>165</v>
      </c>
      <c r="L53" s="49" t="str">
        <f>"103,0673"</f>
        <v>103,0673</v>
      </c>
      <c r="M53" s="49"/>
    </row>
    <row r="54" spans="1:13">
      <c r="A54" s="49" t="s">
        <v>519</v>
      </c>
      <c r="B54" s="49" t="s">
        <v>520</v>
      </c>
      <c r="C54" s="49" t="s">
        <v>521</v>
      </c>
      <c r="D54" s="49" t="str">
        <f>"0,6126"</f>
        <v>0,6126</v>
      </c>
      <c r="E54" s="49" t="s">
        <v>17</v>
      </c>
      <c r="F54" s="49" t="s">
        <v>148</v>
      </c>
      <c r="G54" s="49" t="s">
        <v>339</v>
      </c>
      <c r="H54" s="49" t="s">
        <v>363</v>
      </c>
      <c r="I54" s="50" t="s">
        <v>50</v>
      </c>
      <c r="J54" s="50"/>
      <c r="K54" s="49">
        <v>132.5</v>
      </c>
      <c r="L54" s="49" t="str">
        <f>"81,1695"</f>
        <v>81,1695</v>
      </c>
      <c r="M54" s="49"/>
    </row>
    <row r="55" spans="1:13">
      <c r="A55" s="49" t="s">
        <v>522</v>
      </c>
      <c r="B55" s="49" t="s">
        <v>523</v>
      </c>
      <c r="C55" s="49" t="s">
        <v>524</v>
      </c>
      <c r="D55" s="49" t="str">
        <f>"0,6277"</f>
        <v>0,6277</v>
      </c>
      <c r="E55" s="49" t="s">
        <v>66</v>
      </c>
      <c r="F55" s="49" t="s">
        <v>148</v>
      </c>
      <c r="G55" s="49" t="s">
        <v>247</v>
      </c>
      <c r="H55" s="49" t="s">
        <v>81</v>
      </c>
      <c r="I55" s="50" t="s">
        <v>135</v>
      </c>
      <c r="J55" s="50"/>
      <c r="K55" s="49">
        <v>120</v>
      </c>
      <c r="L55" s="49" t="str">
        <f>"75,3240"</f>
        <v>75,3240</v>
      </c>
      <c r="M55" s="49"/>
    </row>
    <row r="56" spans="1:13">
      <c r="A56" s="49" t="s">
        <v>525</v>
      </c>
      <c r="B56" s="49" t="s">
        <v>375</v>
      </c>
      <c r="C56" s="49" t="s">
        <v>518</v>
      </c>
      <c r="D56" s="49" t="str">
        <f>"0,6247"</f>
        <v>0,6247</v>
      </c>
      <c r="E56" s="49" t="s">
        <v>17</v>
      </c>
      <c r="F56" s="49" t="s">
        <v>148</v>
      </c>
      <c r="G56" s="49" t="s">
        <v>81</v>
      </c>
      <c r="H56" s="50" t="s">
        <v>363</v>
      </c>
      <c r="I56" s="50" t="s">
        <v>363</v>
      </c>
      <c r="J56" s="50"/>
      <c r="K56" s="49">
        <v>120</v>
      </c>
      <c r="L56" s="49" t="str">
        <f>"74,9580"</f>
        <v>74,9580</v>
      </c>
      <c r="M56" s="49"/>
    </row>
    <row r="57" spans="1:13">
      <c r="A57" s="49" t="s">
        <v>526</v>
      </c>
      <c r="B57" s="49" t="s">
        <v>527</v>
      </c>
      <c r="C57" s="49" t="s">
        <v>528</v>
      </c>
      <c r="D57" s="49" t="str">
        <f>"0,6368"</f>
        <v>0,6368</v>
      </c>
      <c r="E57" s="49" t="s">
        <v>17</v>
      </c>
      <c r="F57" s="49" t="s">
        <v>148</v>
      </c>
      <c r="G57" s="50" t="s">
        <v>359</v>
      </c>
      <c r="H57" s="50" t="s">
        <v>359</v>
      </c>
      <c r="I57" s="50" t="s">
        <v>359</v>
      </c>
      <c r="J57" s="50"/>
      <c r="K57" s="49">
        <v>0</v>
      </c>
      <c r="L57" s="49" t="str">
        <f>"0,0000"</f>
        <v>0,0000</v>
      </c>
      <c r="M57" s="49"/>
    </row>
    <row r="58" spans="1:13">
      <c r="A58" s="49" t="s">
        <v>529</v>
      </c>
      <c r="B58" s="49" t="s">
        <v>530</v>
      </c>
      <c r="C58" s="49" t="s">
        <v>353</v>
      </c>
      <c r="D58" s="49" t="str">
        <f>"0,6173"</f>
        <v>0,6173</v>
      </c>
      <c r="E58" s="49" t="s">
        <v>17</v>
      </c>
      <c r="F58" s="49" t="s">
        <v>49</v>
      </c>
      <c r="G58" s="50" t="s">
        <v>531</v>
      </c>
      <c r="H58" s="50" t="s">
        <v>70</v>
      </c>
      <c r="I58" s="50" t="s">
        <v>70</v>
      </c>
      <c r="J58" s="50"/>
      <c r="K58" s="49">
        <v>0</v>
      </c>
      <c r="L58" s="49" t="str">
        <f>"0,0000"</f>
        <v>0,0000</v>
      </c>
      <c r="M58" s="49"/>
    </row>
    <row r="59" spans="1:13">
      <c r="A59" s="49" t="s">
        <v>532</v>
      </c>
      <c r="B59" s="49" t="s">
        <v>533</v>
      </c>
      <c r="C59" s="49" t="s">
        <v>200</v>
      </c>
      <c r="D59" s="49" t="str">
        <f>"0,6301"</f>
        <v>0,6301</v>
      </c>
      <c r="E59" s="49" t="s">
        <v>17</v>
      </c>
      <c r="F59" s="49" t="s">
        <v>148</v>
      </c>
      <c r="G59" s="50" t="s">
        <v>51</v>
      </c>
      <c r="H59" s="50" t="s">
        <v>51</v>
      </c>
      <c r="I59" s="50" t="s">
        <v>51</v>
      </c>
      <c r="J59" s="50"/>
      <c r="K59" s="49">
        <v>0</v>
      </c>
      <c r="L59" s="49" t="str">
        <f>"0,0000"</f>
        <v>0,0000</v>
      </c>
      <c r="M59" s="49"/>
    </row>
    <row r="60" spans="1:13">
      <c r="A60" s="47" t="s">
        <v>534</v>
      </c>
      <c r="B60" s="47" t="s">
        <v>535</v>
      </c>
      <c r="C60" s="47" t="s">
        <v>536</v>
      </c>
      <c r="D60" s="47" t="str">
        <f>"0,6563"</f>
        <v>0,6563</v>
      </c>
      <c r="E60" s="47" t="s">
        <v>17</v>
      </c>
      <c r="F60" s="47" t="s">
        <v>237</v>
      </c>
      <c r="G60" s="47" t="s">
        <v>59</v>
      </c>
      <c r="H60" s="47" t="s">
        <v>75</v>
      </c>
      <c r="I60" s="48" t="s">
        <v>70</v>
      </c>
      <c r="J60" s="48"/>
      <c r="K60" s="47">
        <v>170</v>
      </c>
      <c r="L60" s="47" t="str">
        <f>"111,5777"</f>
        <v>111,5777</v>
      </c>
      <c r="M60" s="47"/>
    </row>
    <row r="62" spans="1:13" ht="15">
      <c r="A62" s="52" t="s">
        <v>53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</row>
    <row r="63" spans="1:13">
      <c r="A63" s="45" t="s">
        <v>537</v>
      </c>
      <c r="B63" s="45" t="s">
        <v>538</v>
      </c>
      <c r="C63" s="45" t="s">
        <v>539</v>
      </c>
      <c r="D63" s="45" t="str">
        <f>"0,5825"</f>
        <v>0,5825</v>
      </c>
      <c r="E63" s="45" t="s">
        <v>17</v>
      </c>
      <c r="F63" s="45" t="s">
        <v>148</v>
      </c>
      <c r="G63" s="45" t="s">
        <v>69</v>
      </c>
      <c r="H63" s="45" t="s">
        <v>70</v>
      </c>
      <c r="I63" s="46" t="s">
        <v>193</v>
      </c>
      <c r="J63" s="46"/>
      <c r="K63" s="45">
        <v>175</v>
      </c>
      <c r="L63" s="45" t="str">
        <f>"101,9462"</f>
        <v>101,9462</v>
      </c>
      <c r="M63" s="45"/>
    </row>
    <row r="64" spans="1:13">
      <c r="A64" s="49" t="s">
        <v>540</v>
      </c>
      <c r="B64" s="49" t="s">
        <v>541</v>
      </c>
      <c r="C64" s="49" t="s">
        <v>542</v>
      </c>
      <c r="D64" s="49" t="str">
        <f>"0,5821"</f>
        <v>0,5821</v>
      </c>
      <c r="E64" s="49" t="s">
        <v>66</v>
      </c>
      <c r="F64" s="49" t="s">
        <v>148</v>
      </c>
      <c r="G64" s="49" t="s">
        <v>33</v>
      </c>
      <c r="H64" s="49" t="s">
        <v>59</v>
      </c>
      <c r="I64" s="50" t="s">
        <v>34</v>
      </c>
      <c r="J64" s="50"/>
      <c r="K64" s="49">
        <v>160</v>
      </c>
      <c r="L64" s="49" t="str">
        <f>"93,1280"</f>
        <v>93,1280</v>
      </c>
      <c r="M64" s="49"/>
    </row>
    <row r="65" spans="1:13">
      <c r="A65" s="49" t="s">
        <v>543</v>
      </c>
      <c r="B65" s="49" t="s">
        <v>544</v>
      </c>
      <c r="C65" s="49" t="s">
        <v>236</v>
      </c>
      <c r="D65" s="49" t="str">
        <f>"0,5971"</f>
        <v>0,5971</v>
      </c>
      <c r="E65" s="49" t="s">
        <v>17</v>
      </c>
      <c r="F65" s="49" t="s">
        <v>545</v>
      </c>
      <c r="G65" s="50" t="s">
        <v>44</v>
      </c>
      <c r="H65" s="49" t="s">
        <v>44</v>
      </c>
      <c r="I65" s="50" t="s">
        <v>34</v>
      </c>
      <c r="J65" s="50"/>
      <c r="K65" s="49">
        <v>150</v>
      </c>
      <c r="L65" s="49" t="str">
        <f>"89,5650"</f>
        <v>89,5650</v>
      </c>
      <c r="M65" s="49"/>
    </row>
    <row r="66" spans="1:13">
      <c r="A66" s="49" t="s">
        <v>546</v>
      </c>
      <c r="B66" s="49" t="s">
        <v>501</v>
      </c>
      <c r="C66" s="49" t="s">
        <v>547</v>
      </c>
      <c r="D66" s="49" t="str">
        <f>"0,5894"</f>
        <v>0,5894</v>
      </c>
      <c r="E66" s="49" t="s">
        <v>17</v>
      </c>
      <c r="F66" s="49" t="s">
        <v>548</v>
      </c>
      <c r="G66" s="49" t="s">
        <v>43</v>
      </c>
      <c r="H66" s="50" t="s">
        <v>44</v>
      </c>
      <c r="I66" s="50"/>
      <c r="J66" s="50"/>
      <c r="K66" s="49">
        <v>140</v>
      </c>
      <c r="L66" s="49" t="str">
        <f>"82,5160"</f>
        <v>82,5160</v>
      </c>
      <c r="M66" s="49"/>
    </row>
    <row r="67" spans="1:13">
      <c r="A67" s="49" t="s">
        <v>549</v>
      </c>
      <c r="B67" s="49" t="s">
        <v>550</v>
      </c>
      <c r="C67" s="49" t="s">
        <v>226</v>
      </c>
      <c r="D67" s="49" t="str">
        <f>"0,6162"</f>
        <v>0,6162</v>
      </c>
      <c r="E67" s="49" t="s">
        <v>17</v>
      </c>
      <c r="F67" s="49" t="s">
        <v>148</v>
      </c>
      <c r="G67" s="49" t="s">
        <v>81</v>
      </c>
      <c r="H67" s="49" t="s">
        <v>135</v>
      </c>
      <c r="I67" s="50" t="s">
        <v>248</v>
      </c>
      <c r="J67" s="50"/>
      <c r="K67" s="49">
        <v>130</v>
      </c>
      <c r="L67" s="49" t="str">
        <f>"80,1097"</f>
        <v>80,1097</v>
      </c>
      <c r="M67" s="49"/>
    </row>
    <row r="68" spans="1:13">
      <c r="A68" s="49" t="s">
        <v>551</v>
      </c>
      <c r="B68" s="49" t="s">
        <v>552</v>
      </c>
      <c r="C68" s="49" t="s">
        <v>553</v>
      </c>
      <c r="D68" s="49" t="str">
        <f>"0,6106"</f>
        <v>0,6106</v>
      </c>
      <c r="E68" s="49" t="s">
        <v>17</v>
      </c>
      <c r="F68" s="49" t="s">
        <v>148</v>
      </c>
      <c r="G68" s="49" t="s">
        <v>81</v>
      </c>
      <c r="H68" s="49" t="s">
        <v>135</v>
      </c>
      <c r="I68" s="50" t="s">
        <v>51</v>
      </c>
      <c r="J68" s="50"/>
      <c r="K68" s="49">
        <v>130</v>
      </c>
      <c r="L68" s="49" t="str">
        <f>"79,3793"</f>
        <v>79,3793</v>
      </c>
      <c r="M68" s="49"/>
    </row>
    <row r="69" spans="1:13">
      <c r="A69" s="49" t="s">
        <v>554</v>
      </c>
      <c r="B69" s="49" t="s">
        <v>555</v>
      </c>
      <c r="C69" s="49" t="s">
        <v>556</v>
      </c>
      <c r="D69" s="49" t="str">
        <f>"0,6915"</f>
        <v>0,6915</v>
      </c>
      <c r="E69" s="49" t="s">
        <v>17</v>
      </c>
      <c r="F69" s="49" t="s">
        <v>557</v>
      </c>
      <c r="G69" s="49" t="s">
        <v>33</v>
      </c>
      <c r="H69" s="49" t="s">
        <v>34</v>
      </c>
      <c r="I69" s="50" t="s">
        <v>75</v>
      </c>
      <c r="J69" s="50"/>
      <c r="K69" s="49">
        <v>162.5</v>
      </c>
      <c r="L69" s="49" t="str">
        <f>"112,3712"</f>
        <v>112,3712</v>
      </c>
      <c r="M69" s="49"/>
    </row>
    <row r="70" spans="1:13">
      <c r="A70" s="49" t="s">
        <v>558</v>
      </c>
      <c r="B70" s="49" t="s">
        <v>559</v>
      </c>
      <c r="C70" s="49" t="s">
        <v>560</v>
      </c>
      <c r="D70" s="49" t="str">
        <f>"0,6708"</f>
        <v>0,6708</v>
      </c>
      <c r="E70" s="49" t="s">
        <v>17</v>
      </c>
      <c r="F70" s="49" t="s">
        <v>148</v>
      </c>
      <c r="G70" s="49" t="s">
        <v>247</v>
      </c>
      <c r="H70" s="49" t="s">
        <v>80</v>
      </c>
      <c r="I70" s="50" t="s">
        <v>81</v>
      </c>
      <c r="J70" s="50"/>
      <c r="K70" s="49">
        <v>115</v>
      </c>
      <c r="L70" s="49" t="str">
        <f>"77,1380"</f>
        <v>77,1380</v>
      </c>
      <c r="M70" s="49"/>
    </row>
    <row r="71" spans="1:13">
      <c r="A71" s="47" t="s">
        <v>561</v>
      </c>
      <c r="B71" s="47" t="s">
        <v>562</v>
      </c>
      <c r="C71" s="47" t="s">
        <v>563</v>
      </c>
      <c r="D71" s="47" t="str">
        <f>"0,7361"</f>
        <v>0,7361</v>
      </c>
      <c r="E71" s="47" t="s">
        <v>17</v>
      </c>
      <c r="F71" s="47" t="s">
        <v>511</v>
      </c>
      <c r="G71" s="47" t="s">
        <v>135</v>
      </c>
      <c r="H71" s="47" t="s">
        <v>43</v>
      </c>
      <c r="I71" s="47" t="s">
        <v>51</v>
      </c>
      <c r="J71" s="48"/>
      <c r="K71" s="47">
        <v>145</v>
      </c>
      <c r="L71" s="47" t="str">
        <f>"106,7398"</f>
        <v>106,7398</v>
      </c>
      <c r="M71" s="47"/>
    </row>
    <row r="73" spans="1:13" ht="15">
      <c r="A73" s="52" t="s">
        <v>84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</row>
    <row r="74" spans="1:13">
      <c r="A74" s="45" t="s">
        <v>564</v>
      </c>
      <c r="B74" s="45" t="s">
        <v>565</v>
      </c>
      <c r="C74" s="45" t="s">
        <v>566</v>
      </c>
      <c r="D74" s="45" t="str">
        <f>"0,5647"</f>
        <v>0,5647</v>
      </c>
      <c r="E74" s="45" t="s">
        <v>17</v>
      </c>
      <c r="F74" s="45" t="s">
        <v>148</v>
      </c>
      <c r="G74" s="45" t="s">
        <v>43</v>
      </c>
      <c r="H74" s="45" t="s">
        <v>44</v>
      </c>
      <c r="I74" s="45" t="s">
        <v>59</v>
      </c>
      <c r="J74" s="46"/>
      <c r="K74" s="45">
        <v>160</v>
      </c>
      <c r="L74" s="45" t="str">
        <f>"90,3520"</f>
        <v>90,3520</v>
      </c>
      <c r="M74" s="45"/>
    </row>
    <row r="75" spans="1:13">
      <c r="A75" s="49" t="s">
        <v>567</v>
      </c>
      <c r="B75" s="49" t="s">
        <v>568</v>
      </c>
      <c r="C75" s="49" t="s">
        <v>569</v>
      </c>
      <c r="D75" s="49" t="str">
        <f>"0,5655"</f>
        <v>0,5655</v>
      </c>
      <c r="E75" s="49" t="s">
        <v>427</v>
      </c>
      <c r="F75" s="49" t="s">
        <v>148</v>
      </c>
      <c r="G75" s="49" t="s">
        <v>44</v>
      </c>
      <c r="H75" s="50" t="s">
        <v>33</v>
      </c>
      <c r="I75" s="49" t="s">
        <v>33</v>
      </c>
      <c r="J75" s="50"/>
      <c r="K75" s="49">
        <v>155</v>
      </c>
      <c r="L75" s="49" t="str">
        <f>"87,6525"</f>
        <v>87,6525</v>
      </c>
      <c r="M75" s="49"/>
    </row>
    <row r="76" spans="1:13">
      <c r="A76" s="49" t="s">
        <v>570</v>
      </c>
      <c r="B76" s="49" t="s">
        <v>571</v>
      </c>
      <c r="C76" s="49" t="s">
        <v>566</v>
      </c>
      <c r="D76" s="49" t="str">
        <f>"0,6031"</f>
        <v>0,6031</v>
      </c>
      <c r="E76" s="49" t="s">
        <v>17</v>
      </c>
      <c r="F76" s="49" t="s">
        <v>134</v>
      </c>
      <c r="G76" s="49" t="s">
        <v>76</v>
      </c>
      <c r="H76" s="50" t="s">
        <v>194</v>
      </c>
      <c r="I76" s="50" t="s">
        <v>238</v>
      </c>
      <c r="J76" s="50"/>
      <c r="K76" s="49">
        <v>180</v>
      </c>
      <c r="L76" s="49" t="str">
        <f>"108,5579"</f>
        <v>108,5579</v>
      </c>
      <c r="M76" s="49"/>
    </row>
    <row r="77" spans="1:13">
      <c r="A77" s="49" t="s">
        <v>572</v>
      </c>
      <c r="B77" s="49" t="s">
        <v>573</v>
      </c>
      <c r="C77" s="49" t="s">
        <v>566</v>
      </c>
      <c r="D77" s="49" t="str">
        <f>"0,6195"</f>
        <v>0,6195</v>
      </c>
      <c r="E77" s="49" t="s">
        <v>88</v>
      </c>
      <c r="F77" s="49" t="s">
        <v>148</v>
      </c>
      <c r="G77" s="50" t="s">
        <v>33</v>
      </c>
      <c r="H77" s="49" t="s">
        <v>138</v>
      </c>
      <c r="I77" s="49" t="s">
        <v>59</v>
      </c>
      <c r="J77" s="50"/>
      <c r="K77" s="49">
        <v>160</v>
      </c>
      <c r="L77" s="49" t="str">
        <f>"99,1161"</f>
        <v>99,1161</v>
      </c>
      <c r="M77" s="49"/>
    </row>
    <row r="78" spans="1:13">
      <c r="A78" s="49" t="s">
        <v>574</v>
      </c>
      <c r="B78" s="49" t="s">
        <v>575</v>
      </c>
      <c r="C78" s="49" t="s">
        <v>576</v>
      </c>
      <c r="D78" s="49" t="str">
        <f>"0,6107"</f>
        <v>0,6107</v>
      </c>
      <c r="E78" s="49" t="s">
        <v>17</v>
      </c>
      <c r="F78" s="49" t="s">
        <v>557</v>
      </c>
      <c r="G78" s="49" t="s">
        <v>51</v>
      </c>
      <c r="H78" s="50" t="s">
        <v>33</v>
      </c>
      <c r="I78" s="50" t="s">
        <v>138</v>
      </c>
      <c r="J78" s="50"/>
      <c r="K78" s="49">
        <v>145</v>
      </c>
      <c r="L78" s="49" t="str">
        <f>"88,5489"</f>
        <v>88,5489</v>
      </c>
      <c r="M78" s="49"/>
    </row>
    <row r="79" spans="1:13">
      <c r="A79" s="49" t="s">
        <v>577</v>
      </c>
      <c r="B79" s="49" t="s">
        <v>578</v>
      </c>
      <c r="C79" s="49" t="s">
        <v>579</v>
      </c>
      <c r="D79" s="49" t="str">
        <f>"0,6497"</f>
        <v>0,6497</v>
      </c>
      <c r="E79" s="49" t="s">
        <v>17</v>
      </c>
      <c r="F79" s="49" t="s">
        <v>148</v>
      </c>
      <c r="G79" s="49" t="s">
        <v>69</v>
      </c>
      <c r="H79" s="49" t="s">
        <v>70</v>
      </c>
      <c r="I79" s="50" t="s">
        <v>76</v>
      </c>
      <c r="J79" s="50"/>
      <c r="K79" s="49">
        <v>175</v>
      </c>
      <c r="L79" s="49" t="str">
        <f>"113,7062"</f>
        <v>113,7062</v>
      </c>
      <c r="M79" s="49"/>
    </row>
    <row r="80" spans="1:13">
      <c r="A80" s="49" t="s">
        <v>580</v>
      </c>
      <c r="B80" s="49" t="s">
        <v>581</v>
      </c>
      <c r="C80" s="49" t="s">
        <v>582</v>
      </c>
      <c r="D80" s="49" t="str">
        <f>"0,6585"</f>
        <v>0,6585</v>
      </c>
      <c r="E80" s="49" t="s">
        <v>17</v>
      </c>
      <c r="F80" s="49" t="s">
        <v>148</v>
      </c>
      <c r="G80" s="49" t="s">
        <v>138</v>
      </c>
      <c r="H80" s="49" t="s">
        <v>34</v>
      </c>
      <c r="I80" s="49" t="s">
        <v>75</v>
      </c>
      <c r="J80" s="50"/>
      <c r="K80" s="49">
        <v>170</v>
      </c>
      <c r="L80" s="49" t="str">
        <f>"111,9379"</f>
        <v>111,9379</v>
      </c>
      <c r="M80" s="49"/>
    </row>
    <row r="81" spans="1:13">
      <c r="A81" s="47" t="s">
        <v>583</v>
      </c>
      <c r="B81" s="47" t="s">
        <v>584</v>
      </c>
      <c r="C81" s="47" t="s">
        <v>585</v>
      </c>
      <c r="D81" s="47" t="str">
        <f>"0,6397"</f>
        <v>0,6397</v>
      </c>
      <c r="E81" s="47" t="s">
        <v>17</v>
      </c>
      <c r="F81" s="47" t="s">
        <v>148</v>
      </c>
      <c r="G81" s="47" t="s">
        <v>44</v>
      </c>
      <c r="H81" s="48" t="s">
        <v>69</v>
      </c>
      <c r="I81" s="47" t="s">
        <v>531</v>
      </c>
      <c r="J81" s="48"/>
      <c r="K81" s="47">
        <v>167.5</v>
      </c>
      <c r="L81" s="47" t="str">
        <f>"107,1486"</f>
        <v>107,1486</v>
      </c>
      <c r="M81" s="47"/>
    </row>
    <row r="83" spans="1:13" ht="15">
      <c r="A83" s="52" t="s">
        <v>263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</row>
    <row r="84" spans="1:13">
      <c r="A84" s="45" t="s">
        <v>586</v>
      </c>
      <c r="B84" s="45" t="s">
        <v>587</v>
      </c>
      <c r="C84" s="45" t="s">
        <v>588</v>
      </c>
      <c r="D84" s="45" t="str">
        <f>"0,5494"</f>
        <v>0,5494</v>
      </c>
      <c r="E84" s="45" t="s">
        <v>589</v>
      </c>
      <c r="F84" s="45" t="s">
        <v>148</v>
      </c>
      <c r="G84" s="45" t="s">
        <v>76</v>
      </c>
      <c r="H84" s="45" t="s">
        <v>194</v>
      </c>
      <c r="I84" s="45" t="s">
        <v>238</v>
      </c>
      <c r="J84" s="46" t="s">
        <v>590</v>
      </c>
      <c r="K84" s="45">
        <v>195</v>
      </c>
      <c r="L84" s="45" t="str">
        <f>"107,1330"</f>
        <v>107,1330</v>
      </c>
      <c r="M84" s="45"/>
    </row>
    <row r="85" spans="1:13">
      <c r="A85" s="49" t="s">
        <v>591</v>
      </c>
      <c r="B85" s="49" t="s">
        <v>592</v>
      </c>
      <c r="C85" s="49" t="s">
        <v>593</v>
      </c>
      <c r="D85" s="49" t="str">
        <f>"0,5616"</f>
        <v>0,5616</v>
      </c>
      <c r="E85" s="49" t="s">
        <v>17</v>
      </c>
      <c r="F85" s="49" t="s">
        <v>594</v>
      </c>
      <c r="G85" s="49" t="s">
        <v>193</v>
      </c>
      <c r="H85" s="50" t="s">
        <v>194</v>
      </c>
      <c r="I85" s="49" t="s">
        <v>107</v>
      </c>
      <c r="J85" s="50"/>
      <c r="K85" s="49">
        <v>192.5</v>
      </c>
      <c r="L85" s="49" t="str">
        <f>"108,1176"</f>
        <v>108,1176</v>
      </c>
      <c r="M85" s="49"/>
    </row>
    <row r="86" spans="1:13">
      <c r="A86" s="49" t="s">
        <v>595</v>
      </c>
      <c r="B86" s="49" t="s">
        <v>596</v>
      </c>
      <c r="C86" s="49" t="s">
        <v>597</v>
      </c>
      <c r="D86" s="49" t="str">
        <f>"0,6021"</f>
        <v>0,6021</v>
      </c>
      <c r="E86" s="49" t="s">
        <v>88</v>
      </c>
      <c r="F86" s="49" t="s">
        <v>148</v>
      </c>
      <c r="G86" s="49" t="s">
        <v>75</v>
      </c>
      <c r="H86" s="49" t="s">
        <v>380</v>
      </c>
      <c r="I86" s="50" t="s">
        <v>70</v>
      </c>
      <c r="J86" s="50"/>
      <c r="K86" s="49">
        <v>172.5</v>
      </c>
      <c r="L86" s="49" t="str">
        <f>"103,8586"</f>
        <v>103,8586</v>
      </c>
      <c r="M86" s="49"/>
    </row>
    <row r="87" spans="1:13">
      <c r="A87" s="49" t="s">
        <v>598</v>
      </c>
      <c r="B87" s="49" t="s">
        <v>599</v>
      </c>
      <c r="C87" s="49" t="s">
        <v>600</v>
      </c>
      <c r="D87" s="49" t="str">
        <f>"0,6607"</f>
        <v>0,6607</v>
      </c>
      <c r="E87" s="49" t="s">
        <v>88</v>
      </c>
      <c r="F87" s="49" t="s">
        <v>148</v>
      </c>
      <c r="G87" s="49" t="s">
        <v>380</v>
      </c>
      <c r="H87" s="50" t="s">
        <v>340</v>
      </c>
      <c r="I87" s="50" t="s">
        <v>340</v>
      </c>
      <c r="J87" s="50"/>
      <c r="K87" s="49">
        <v>172.5</v>
      </c>
      <c r="L87" s="49" t="str">
        <f>"113,9699"</f>
        <v>113,9699</v>
      </c>
      <c r="M87" s="49"/>
    </row>
    <row r="88" spans="1:13">
      <c r="A88" s="47" t="s">
        <v>586</v>
      </c>
      <c r="B88" s="47" t="s">
        <v>601</v>
      </c>
      <c r="C88" s="47" t="s">
        <v>588</v>
      </c>
      <c r="D88" s="47" t="str">
        <f>"0,6966"</f>
        <v>0,6966</v>
      </c>
      <c r="E88" s="47" t="s">
        <v>589</v>
      </c>
      <c r="F88" s="47" t="s">
        <v>148</v>
      </c>
      <c r="G88" s="47" t="s">
        <v>76</v>
      </c>
      <c r="H88" s="47" t="s">
        <v>194</v>
      </c>
      <c r="I88" s="47" t="s">
        <v>238</v>
      </c>
      <c r="J88" s="48" t="s">
        <v>590</v>
      </c>
      <c r="K88" s="47">
        <v>195</v>
      </c>
      <c r="L88" s="47" t="str">
        <f>"135,8446"</f>
        <v>135,8446</v>
      </c>
      <c r="M88" s="47"/>
    </row>
    <row r="90" spans="1:13" ht="15">
      <c r="A90" s="52" t="s">
        <v>602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</row>
    <row r="91" spans="1:13">
      <c r="A91" s="35" t="s">
        <v>603</v>
      </c>
      <c r="B91" s="35" t="s">
        <v>604</v>
      </c>
      <c r="C91" s="35" t="s">
        <v>605</v>
      </c>
      <c r="D91" s="35" t="str">
        <f>"0,5570"</f>
        <v>0,5570</v>
      </c>
      <c r="E91" s="35" t="s">
        <v>88</v>
      </c>
      <c r="F91" s="35" t="s">
        <v>606</v>
      </c>
      <c r="G91" s="35" t="s">
        <v>32</v>
      </c>
      <c r="H91" s="35" t="s">
        <v>386</v>
      </c>
      <c r="I91" s="36"/>
      <c r="J91" s="36"/>
      <c r="K91" s="35">
        <v>242.5</v>
      </c>
      <c r="L91" s="35" t="str">
        <f>"135,0698"</f>
        <v>135,0698</v>
      </c>
      <c r="M91" s="35"/>
    </row>
    <row r="93" spans="1:13" ht="15">
      <c r="E93" s="37" t="s">
        <v>93</v>
      </c>
    </row>
    <row r="94" spans="1:13" ht="15">
      <c r="E94" s="37" t="s">
        <v>94</v>
      </c>
    </row>
    <row r="95" spans="1:13" ht="15">
      <c r="E95" s="37" t="s">
        <v>95</v>
      </c>
    </row>
    <row r="96" spans="1:13">
      <c r="E96" s="34" t="s">
        <v>96</v>
      </c>
    </row>
    <row r="97" spans="1:5">
      <c r="E97" s="34" t="s">
        <v>97</v>
      </c>
    </row>
    <row r="98" spans="1:5">
      <c r="E98" s="34" t="s">
        <v>98</v>
      </c>
    </row>
    <row r="101" spans="1:5" ht="18">
      <c r="A101" s="38" t="s">
        <v>99</v>
      </c>
      <c r="B101" s="38"/>
    </row>
    <row r="102" spans="1:5" ht="15">
      <c r="A102" s="39" t="s">
        <v>100</v>
      </c>
      <c r="B102" s="39"/>
    </row>
    <row r="103" spans="1:5" ht="14.25">
      <c r="A103" s="41" t="s">
        <v>110</v>
      </c>
      <c r="B103" s="42"/>
    </row>
    <row r="104" spans="1:5" ht="15">
      <c r="A104" s="43" t="s">
        <v>0</v>
      </c>
      <c r="B104" s="43" t="s">
        <v>102</v>
      </c>
      <c r="C104" s="43" t="s">
        <v>103</v>
      </c>
      <c r="D104" s="43" t="s">
        <v>7</v>
      </c>
      <c r="E104" s="43" t="s">
        <v>104</v>
      </c>
    </row>
    <row r="105" spans="1:5">
      <c r="A105" s="40" t="s">
        <v>432</v>
      </c>
      <c r="B105" s="34" t="s">
        <v>110</v>
      </c>
      <c r="C105" s="34" t="s">
        <v>285</v>
      </c>
      <c r="D105" s="34" t="s">
        <v>316</v>
      </c>
      <c r="E105" s="44" t="s">
        <v>607</v>
      </c>
    </row>
    <row r="106" spans="1:5">
      <c r="A106" s="40" t="s">
        <v>420</v>
      </c>
      <c r="B106" s="34" t="s">
        <v>110</v>
      </c>
      <c r="C106" s="34" t="s">
        <v>392</v>
      </c>
      <c r="D106" s="34" t="s">
        <v>22</v>
      </c>
      <c r="E106" s="44" t="s">
        <v>608</v>
      </c>
    </row>
    <row r="107" spans="1:5">
      <c r="A107" s="40" t="s">
        <v>435</v>
      </c>
      <c r="B107" s="34" t="s">
        <v>110</v>
      </c>
      <c r="C107" s="34" t="s">
        <v>106</v>
      </c>
      <c r="D107" s="34" t="s">
        <v>163</v>
      </c>
      <c r="E107" s="44" t="s">
        <v>609</v>
      </c>
    </row>
    <row r="108" spans="1:5">
      <c r="A108" s="40" t="s">
        <v>428</v>
      </c>
      <c r="B108" s="34" t="s">
        <v>110</v>
      </c>
      <c r="C108" s="34" t="s">
        <v>280</v>
      </c>
      <c r="D108" s="34" t="s">
        <v>21</v>
      </c>
      <c r="E108" s="44" t="s">
        <v>610</v>
      </c>
    </row>
    <row r="110" spans="1:5" ht="14.25">
      <c r="A110" s="41" t="s">
        <v>101</v>
      </c>
      <c r="B110" s="42"/>
    </row>
    <row r="111" spans="1:5" ht="15">
      <c r="A111" s="43" t="s">
        <v>0</v>
      </c>
      <c r="B111" s="43" t="s">
        <v>102</v>
      </c>
      <c r="C111" s="43" t="s">
        <v>103</v>
      </c>
      <c r="D111" s="43" t="s">
        <v>7</v>
      </c>
      <c r="E111" s="43" t="s">
        <v>104</v>
      </c>
    </row>
    <row r="112" spans="1:5">
      <c r="A112" s="40" t="s">
        <v>439</v>
      </c>
      <c r="B112" s="34" t="s">
        <v>611</v>
      </c>
      <c r="C112" s="34" t="s">
        <v>612</v>
      </c>
      <c r="D112" s="34" t="s">
        <v>188</v>
      </c>
      <c r="E112" s="44" t="s">
        <v>613</v>
      </c>
    </row>
    <row r="115" spans="1:5" ht="15">
      <c r="A115" s="39" t="s">
        <v>109</v>
      </c>
      <c r="B115" s="39"/>
    </row>
    <row r="116" spans="1:5" ht="14.25">
      <c r="A116" s="41" t="s">
        <v>276</v>
      </c>
      <c r="B116" s="42"/>
    </row>
    <row r="117" spans="1:5" ht="15">
      <c r="A117" s="43" t="s">
        <v>0</v>
      </c>
      <c r="B117" s="43" t="s">
        <v>102</v>
      </c>
      <c r="C117" s="43" t="s">
        <v>103</v>
      </c>
      <c r="D117" s="43" t="s">
        <v>7</v>
      </c>
      <c r="E117" s="43" t="s">
        <v>104</v>
      </c>
    </row>
    <row r="118" spans="1:5">
      <c r="A118" s="40" t="s">
        <v>496</v>
      </c>
      <c r="B118" s="34" t="s">
        <v>277</v>
      </c>
      <c r="C118" s="34" t="s">
        <v>151</v>
      </c>
      <c r="D118" s="34" t="s">
        <v>359</v>
      </c>
      <c r="E118" s="44" t="s">
        <v>614</v>
      </c>
    </row>
    <row r="119" spans="1:5">
      <c r="A119" s="40" t="s">
        <v>445</v>
      </c>
      <c r="B119" s="34" t="s">
        <v>615</v>
      </c>
      <c r="C119" s="34" t="s">
        <v>106</v>
      </c>
      <c r="D119" s="34" t="s">
        <v>81</v>
      </c>
      <c r="E119" s="44" t="s">
        <v>616</v>
      </c>
    </row>
    <row r="120" spans="1:5">
      <c r="A120" s="40" t="s">
        <v>448</v>
      </c>
      <c r="B120" s="34" t="s">
        <v>615</v>
      </c>
      <c r="C120" s="34" t="s">
        <v>106</v>
      </c>
      <c r="D120" s="34" t="s">
        <v>188</v>
      </c>
      <c r="E120" s="44" t="s">
        <v>617</v>
      </c>
    </row>
    <row r="121" spans="1:5">
      <c r="A121" s="40" t="s">
        <v>452</v>
      </c>
      <c r="B121" s="34" t="s">
        <v>277</v>
      </c>
      <c r="C121" s="34" t="s">
        <v>106</v>
      </c>
      <c r="D121" s="34" t="s">
        <v>188</v>
      </c>
      <c r="E121" s="44" t="s">
        <v>618</v>
      </c>
    </row>
    <row r="123" spans="1:5" ht="14.25">
      <c r="A123" s="41" t="s">
        <v>283</v>
      </c>
      <c r="B123" s="42"/>
    </row>
    <row r="124" spans="1:5" ht="15">
      <c r="A124" s="43" t="s">
        <v>0</v>
      </c>
      <c r="B124" s="43" t="s">
        <v>102</v>
      </c>
      <c r="C124" s="43" t="s">
        <v>103</v>
      </c>
      <c r="D124" s="43" t="s">
        <v>7</v>
      </c>
      <c r="E124" s="43" t="s">
        <v>104</v>
      </c>
    </row>
    <row r="125" spans="1:5">
      <c r="A125" s="40" t="s">
        <v>537</v>
      </c>
      <c r="B125" s="34" t="s">
        <v>284</v>
      </c>
      <c r="C125" s="34" t="s">
        <v>114</v>
      </c>
      <c r="D125" s="34" t="s">
        <v>70</v>
      </c>
      <c r="E125" s="44" t="s">
        <v>619</v>
      </c>
    </row>
    <row r="126" spans="1:5">
      <c r="A126" s="40" t="s">
        <v>513</v>
      </c>
      <c r="B126" s="34" t="s">
        <v>284</v>
      </c>
      <c r="C126" s="34" t="s">
        <v>119</v>
      </c>
      <c r="D126" s="34" t="s">
        <v>51</v>
      </c>
      <c r="E126" s="44" t="s">
        <v>620</v>
      </c>
    </row>
    <row r="127" spans="1:5">
      <c r="A127" s="40" t="s">
        <v>442</v>
      </c>
      <c r="B127" s="34" t="s">
        <v>284</v>
      </c>
      <c r="C127" s="34" t="s">
        <v>285</v>
      </c>
      <c r="D127" s="34" t="s">
        <v>247</v>
      </c>
      <c r="E127" s="44" t="s">
        <v>621</v>
      </c>
    </row>
    <row r="128" spans="1:5">
      <c r="A128" s="40" t="s">
        <v>455</v>
      </c>
      <c r="B128" s="34" t="s">
        <v>284</v>
      </c>
      <c r="C128" s="34" t="s">
        <v>106</v>
      </c>
      <c r="D128" s="34" t="s">
        <v>325</v>
      </c>
      <c r="E128" s="44" t="s">
        <v>622</v>
      </c>
    </row>
    <row r="129" spans="1:5">
      <c r="A129" s="40" t="s">
        <v>458</v>
      </c>
      <c r="B129" s="34" t="s">
        <v>284</v>
      </c>
      <c r="C129" s="34" t="s">
        <v>106</v>
      </c>
      <c r="D129" s="34" t="s">
        <v>324</v>
      </c>
      <c r="E129" s="44" t="s">
        <v>623</v>
      </c>
    </row>
    <row r="131" spans="1:5" ht="14.25">
      <c r="A131" s="41" t="s">
        <v>110</v>
      </c>
      <c r="B131" s="42"/>
    </row>
    <row r="132" spans="1:5" ht="15">
      <c r="A132" s="43" t="s">
        <v>0</v>
      </c>
      <c r="B132" s="43" t="s">
        <v>102</v>
      </c>
      <c r="C132" s="43" t="s">
        <v>103</v>
      </c>
      <c r="D132" s="43" t="s">
        <v>7</v>
      </c>
      <c r="E132" s="43" t="s">
        <v>104</v>
      </c>
    </row>
    <row r="133" spans="1:5">
      <c r="A133" s="40" t="s">
        <v>500</v>
      </c>
      <c r="B133" s="34" t="s">
        <v>110</v>
      </c>
      <c r="C133" s="34" t="s">
        <v>151</v>
      </c>
      <c r="D133" s="34" t="s">
        <v>70</v>
      </c>
      <c r="E133" s="44" t="s">
        <v>624</v>
      </c>
    </row>
    <row r="134" spans="1:5">
      <c r="A134" s="40" t="s">
        <v>591</v>
      </c>
      <c r="B134" s="34" t="s">
        <v>110</v>
      </c>
      <c r="C134" s="34" t="s">
        <v>625</v>
      </c>
      <c r="D134" s="34" t="s">
        <v>107</v>
      </c>
      <c r="E134" s="44" t="s">
        <v>626</v>
      </c>
    </row>
    <row r="135" spans="1:5">
      <c r="A135" s="40" t="s">
        <v>586</v>
      </c>
      <c r="B135" s="34" t="s">
        <v>110</v>
      </c>
      <c r="C135" s="34" t="s">
        <v>625</v>
      </c>
      <c r="D135" s="34" t="s">
        <v>238</v>
      </c>
      <c r="E135" s="44" t="s">
        <v>627</v>
      </c>
    </row>
    <row r="136" spans="1:5">
      <c r="A136" s="40" t="s">
        <v>516</v>
      </c>
      <c r="B136" s="34" t="s">
        <v>110</v>
      </c>
      <c r="C136" s="34" t="s">
        <v>119</v>
      </c>
      <c r="D136" s="34" t="s">
        <v>69</v>
      </c>
      <c r="E136" s="44" t="s">
        <v>628</v>
      </c>
    </row>
    <row r="137" spans="1:5">
      <c r="A137" s="40" t="s">
        <v>462</v>
      </c>
      <c r="B137" s="34" t="s">
        <v>110</v>
      </c>
      <c r="C137" s="34" t="s">
        <v>106</v>
      </c>
      <c r="D137" s="34" t="s">
        <v>243</v>
      </c>
      <c r="E137" s="44" t="s">
        <v>629</v>
      </c>
    </row>
    <row r="138" spans="1:5">
      <c r="A138" s="40" t="s">
        <v>465</v>
      </c>
      <c r="B138" s="34" t="s">
        <v>110</v>
      </c>
      <c r="C138" s="34" t="s">
        <v>106</v>
      </c>
      <c r="D138" s="34" t="s">
        <v>50</v>
      </c>
      <c r="E138" s="44" t="s">
        <v>630</v>
      </c>
    </row>
    <row r="139" spans="1:5">
      <c r="A139" s="40" t="s">
        <v>540</v>
      </c>
      <c r="B139" s="34" t="s">
        <v>110</v>
      </c>
      <c r="C139" s="34" t="s">
        <v>114</v>
      </c>
      <c r="D139" s="34" t="s">
        <v>59</v>
      </c>
      <c r="E139" s="44" t="s">
        <v>631</v>
      </c>
    </row>
    <row r="140" spans="1:5">
      <c r="A140" s="40" t="s">
        <v>469</v>
      </c>
      <c r="B140" s="34" t="s">
        <v>110</v>
      </c>
      <c r="C140" s="34" t="s">
        <v>106</v>
      </c>
      <c r="D140" s="34" t="s">
        <v>50</v>
      </c>
      <c r="E140" s="44" t="s">
        <v>632</v>
      </c>
    </row>
    <row r="141" spans="1:5">
      <c r="A141" s="40" t="s">
        <v>564</v>
      </c>
      <c r="B141" s="34" t="s">
        <v>110</v>
      </c>
      <c r="C141" s="34" t="s">
        <v>111</v>
      </c>
      <c r="D141" s="34" t="s">
        <v>59</v>
      </c>
      <c r="E141" s="44" t="s">
        <v>633</v>
      </c>
    </row>
    <row r="142" spans="1:5">
      <c r="A142" s="40" t="s">
        <v>543</v>
      </c>
      <c r="B142" s="34" t="s">
        <v>110</v>
      </c>
      <c r="C142" s="34" t="s">
        <v>114</v>
      </c>
      <c r="D142" s="34" t="s">
        <v>44</v>
      </c>
      <c r="E142" s="44" t="s">
        <v>634</v>
      </c>
    </row>
    <row r="143" spans="1:5">
      <c r="A143" s="40" t="s">
        <v>567</v>
      </c>
      <c r="B143" s="34" t="s">
        <v>110</v>
      </c>
      <c r="C143" s="34" t="s">
        <v>111</v>
      </c>
      <c r="D143" s="34" t="s">
        <v>33</v>
      </c>
      <c r="E143" s="44" t="s">
        <v>635</v>
      </c>
    </row>
    <row r="144" spans="1:5">
      <c r="A144" s="40" t="s">
        <v>504</v>
      </c>
      <c r="B144" s="34" t="s">
        <v>110</v>
      </c>
      <c r="C144" s="34" t="s">
        <v>151</v>
      </c>
      <c r="D144" s="34" t="s">
        <v>135</v>
      </c>
      <c r="E144" s="44" t="s">
        <v>636</v>
      </c>
    </row>
    <row r="145" spans="1:5">
      <c r="A145" s="40" t="s">
        <v>330</v>
      </c>
      <c r="B145" s="34" t="s">
        <v>110</v>
      </c>
      <c r="C145" s="34" t="s">
        <v>106</v>
      </c>
      <c r="D145" s="34" t="s">
        <v>334</v>
      </c>
      <c r="E145" s="44" t="s">
        <v>637</v>
      </c>
    </row>
    <row r="146" spans="1:5">
      <c r="A146" s="40" t="s">
        <v>472</v>
      </c>
      <c r="B146" s="34" t="s">
        <v>110</v>
      </c>
      <c r="C146" s="34" t="s">
        <v>106</v>
      </c>
      <c r="D146" s="34" t="s">
        <v>334</v>
      </c>
      <c r="E146" s="44" t="s">
        <v>638</v>
      </c>
    </row>
    <row r="147" spans="1:5">
      <c r="A147" s="40" t="s">
        <v>474</v>
      </c>
      <c r="B147" s="34" t="s">
        <v>110</v>
      </c>
      <c r="C147" s="34" t="s">
        <v>106</v>
      </c>
      <c r="D147" s="34" t="s">
        <v>334</v>
      </c>
      <c r="E147" s="44" t="s">
        <v>639</v>
      </c>
    </row>
    <row r="148" spans="1:5">
      <c r="A148" s="40" t="s">
        <v>546</v>
      </c>
      <c r="B148" s="34" t="s">
        <v>110</v>
      </c>
      <c r="C148" s="34" t="s">
        <v>114</v>
      </c>
      <c r="D148" s="34" t="s">
        <v>43</v>
      </c>
      <c r="E148" s="44" t="s">
        <v>640</v>
      </c>
    </row>
    <row r="149" spans="1:5">
      <c r="A149" s="40" t="s">
        <v>479</v>
      </c>
      <c r="B149" s="34" t="s">
        <v>110</v>
      </c>
      <c r="C149" s="34" t="s">
        <v>106</v>
      </c>
      <c r="D149" s="34" t="s">
        <v>334</v>
      </c>
      <c r="E149" s="44" t="s">
        <v>641</v>
      </c>
    </row>
    <row r="150" spans="1:5">
      <c r="A150" s="40" t="s">
        <v>506</v>
      </c>
      <c r="B150" s="34" t="s">
        <v>110</v>
      </c>
      <c r="C150" s="34" t="s">
        <v>151</v>
      </c>
      <c r="D150" s="34" t="s">
        <v>338</v>
      </c>
      <c r="E150" s="44" t="s">
        <v>642</v>
      </c>
    </row>
    <row r="151" spans="1:5">
      <c r="A151" s="40" t="s">
        <v>483</v>
      </c>
      <c r="B151" s="34" t="s">
        <v>110</v>
      </c>
      <c r="C151" s="34" t="s">
        <v>106</v>
      </c>
      <c r="D151" s="34" t="s">
        <v>334</v>
      </c>
      <c r="E151" s="44" t="s">
        <v>643</v>
      </c>
    </row>
    <row r="152" spans="1:5">
      <c r="A152" s="40" t="s">
        <v>519</v>
      </c>
      <c r="B152" s="34" t="s">
        <v>110</v>
      </c>
      <c r="C152" s="34" t="s">
        <v>119</v>
      </c>
      <c r="D152" s="34" t="s">
        <v>363</v>
      </c>
      <c r="E152" s="44" t="s">
        <v>644</v>
      </c>
    </row>
    <row r="153" spans="1:5">
      <c r="A153" s="40" t="s">
        <v>522</v>
      </c>
      <c r="B153" s="34" t="s">
        <v>110</v>
      </c>
      <c r="C153" s="34" t="s">
        <v>119</v>
      </c>
      <c r="D153" s="34" t="s">
        <v>81</v>
      </c>
      <c r="E153" s="44" t="s">
        <v>645</v>
      </c>
    </row>
    <row r="154" spans="1:5">
      <c r="A154" s="40" t="s">
        <v>525</v>
      </c>
      <c r="B154" s="34" t="s">
        <v>110</v>
      </c>
      <c r="C154" s="34" t="s">
        <v>119</v>
      </c>
      <c r="D154" s="34" t="s">
        <v>81</v>
      </c>
      <c r="E154" s="44" t="s">
        <v>646</v>
      </c>
    </row>
    <row r="155" spans="1:5">
      <c r="A155" s="40" t="s">
        <v>509</v>
      </c>
      <c r="B155" s="34" t="s">
        <v>110</v>
      </c>
      <c r="C155" s="34" t="s">
        <v>151</v>
      </c>
      <c r="D155" s="34" t="s">
        <v>324</v>
      </c>
      <c r="E155" s="44" t="s">
        <v>647</v>
      </c>
    </row>
    <row r="157" spans="1:5" ht="14.25">
      <c r="A157" s="41" t="s">
        <v>101</v>
      </c>
      <c r="B157" s="42"/>
    </row>
    <row r="158" spans="1:5" ht="15">
      <c r="A158" s="43" t="s">
        <v>0</v>
      </c>
      <c r="B158" s="43" t="s">
        <v>102</v>
      </c>
      <c r="C158" s="43" t="s">
        <v>103</v>
      </c>
      <c r="D158" s="43" t="s">
        <v>7</v>
      </c>
      <c r="E158" s="43" t="s">
        <v>104</v>
      </c>
    </row>
    <row r="159" spans="1:5">
      <c r="A159" s="40" t="s">
        <v>586</v>
      </c>
      <c r="B159" s="34" t="s">
        <v>300</v>
      </c>
      <c r="C159" s="34" t="s">
        <v>625</v>
      </c>
      <c r="D159" s="34" t="s">
        <v>238</v>
      </c>
      <c r="E159" s="44" t="s">
        <v>648</v>
      </c>
    </row>
    <row r="160" spans="1:5">
      <c r="A160" s="40" t="s">
        <v>603</v>
      </c>
      <c r="B160" s="34" t="s">
        <v>105</v>
      </c>
      <c r="C160" s="34" t="s">
        <v>649</v>
      </c>
      <c r="D160" s="34" t="s">
        <v>386</v>
      </c>
      <c r="E160" s="44" t="s">
        <v>650</v>
      </c>
    </row>
    <row r="161" spans="1:5">
      <c r="A161" s="40" t="s">
        <v>598</v>
      </c>
      <c r="B161" s="34" t="s">
        <v>611</v>
      </c>
      <c r="C161" s="34" t="s">
        <v>625</v>
      </c>
      <c r="D161" s="34" t="s">
        <v>380</v>
      </c>
      <c r="E161" s="44" t="s">
        <v>651</v>
      </c>
    </row>
    <row r="162" spans="1:5">
      <c r="A162" s="40" t="s">
        <v>577</v>
      </c>
      <c r="B162" s="34" t="s">
        <v>611</v>
      </c>
      <c r="C162" s="34" t="s">
        <v>111</v>
      </c>
      <c r="D162" s="34" t="s">
        <v>70</v>
      </c>
      <c r="E162" s="44" t="s">
        <v>652</v>
      </c>
    </row>
    <row r="163" spans="1:5">
      <c r="A163" s="40" t="s">
        <v>554</v>
      </c>
      <c r="B163" s="34" t="s">
        <v>611</v>
      </c>
      <c r="C163" s="34" t="s">
        <v>114</v>
      </c>
      <c r="D163" s="34" t="s">
        <v>34</v>
      </c>
      <c r="E163" s="44" t="s">
        <v>653</v>
      </c>
    </row>
    <row r="164" spans="1:5">
      <c r="A164" s="40" t="s">
        <v>580</v>
      </c>
      <c r="B164" s="34" t="s">
        <v>611</v>
      </c>
      <c r="C164" s="34" t="s">
        <v>111</v>
      </c>
      <c r="D164" s="34" t="s">
        <v>75</v>
      </c>
      <c r="E164" s="44" t="s">
        <v>654</v>
      </c>
    </row>
    <row r="165" spans="1:5">
      <c r="A165" s="40" t="s">
        <v>534</v>
      </c>
      <c r="B165" s="34" t="s">
        <v>105</v>
      </c>
      <c r="C165" s="34" t="s">
        <v>119</v>
      </c>
      <c r="D165" s="34" t="s">
        <v>75</v>
      </c>
      <c r="E165" s="44" t="s">
        <v>655</v>
      </c>
    </row>
    <row r="166" spans="1:5">
      <c r="A166" s="40" t="s">
        <v>570</v>
      </c>
      <c r="B166" s="34" t="s">
        <v>105</v>
      </c>
      <c r="C166" s="34" t="s">
        <v>111</v>
      </c>
      <c r="D166" s="34" t="s">
        <v>76</v>
      </c>
      <c r="E166" s="44" t="s">
        <v>656</v>
      </c>
    </row>
    <row r="167" spans="1:5">
      <c r="A167" s="40" t="s">
        <v>583</v>
      </c>
      <c r="B167" s="34" t="s">
        <v>611</v>
      </c>
      <c r="C167" s="34" t="s">
        <v>111</v>
      </c>
      <c r="D167" s="34" t="s">
        <v>531</v>
      </c>
      <c r="E167" s="44" t="s">
        <v>657</v>
      </c>
    </row>
    <row r="168" spans="1:5">
      <c r="A168" s="40" t="s">
        <v>561</v>
      </c>
      <c r="B168" s="34" t="s">
        <v>300</v>
      </c>
      <c r="C168" s="34" t="s">
        <v>114</v>
      </c>
      <c r="D168" s="34" t="s">
        <v>51</v>
      </c>
      <c r="E168" s="44" t="s">
        <v>658</v>
      </c>
    </row>
    <row r="169" spans="1:5">
      <c r="A169" s="40" t="s">
        <v>595</v>
      </c>
      <c r="B169" s="34" t="s">
        <v>105</v>
      </c>
      <c r="C169" s="34" t="s">
        <v>625</v>
      </c>
      <c r="D169" s="34" t="s">
        <v>380</v>
      </c>
      <c r="E169" s="44" t="s">
        <v>659</v>
      </c>
    </row>
    <row r="170" spans="1:5">
      <c r="A170" s="40" t="s">
        <v>572</v>
      </c>
      <c r="B170" s="34" t="s">
        <v>105</v>
      </c>
      <c r="C170" s="34" t="s">
        <v>111</v>
      </c>
      <c r="D170" s="34" t="s">
        <v>59</v>
      </c>
      <c r="E170" s="44" t="s">
        <v>660</v>
      </c>
    </row>
    <row r="171" spans="1:5">
      <c r="A171" s="40" t="s">
        <v>574</v>
      </c>
      <c r="B171" s="34" t="s">
        <v>105</v>
      </c>
      <c r="C171" s="34" t="s">
        <v>111</v>
      </c>
      <c r="D171" s="34" t="s">
        <v>51</v>
      </c>
      <c r="E171" s="44" t="s">
        <v>661</v>
      </c>
    </row>
    <row r="172" spans="1:5">
      <c r="A172" s="40" t="s">
        <v>490</v>
      </c>
      <c r="B172" s="34" t="s">
        <v>305</v>
      </c>
      <c r="C172" s="34" t="s">
        <v>106</v>
      </c>
      <c r="D172" s="34" t="s">
        <v>334</v>
      </c>
      <c r="E172" s="44" t="s">
        <v>662</v>
      </c>
    </row>
    <row r="173" spans="1:5">
      <c r="A173" s="40" t="s">
        <v>549</v>
      </c>
      <c r="B173" s="34" t="s">
        <v>305</v>
      </c>
      <c r="C173" s="34" t="s">
        <v>114</v>
      </c>
      <c r="D173" s="34" t="s">
        <v>135</v>
      </c>
      <c r="E173" s="44" t="s">
        <v>663</v>
      </c>
    </row>
    <row r="174" spans="1:5">
      <c r="A174" s="40" t="s">
        <v>551</v>
      </c>
      <c r="B174" s="34" t="s">
        <v>305</v>
      </c>
      <c r="C174" s="34" t="s">
        <v>114</v>
      </c>
      <c r="D174" s="34" t="s">
        <v>135</v>
      </c>
      <c r="E174" s="44" t="s">
        <v>664</v>
      </c>
    </row>
    <row r="175" spans="1:5">
      <c r="A175" s="40" t="s">
        <v>558</v>
      </c>
      <c r="B175" s="34" t="s">
        <v>611</v>
      </c>
      <c r="C175" s="34" t="s">
        <v>114</v>
      </c>
      <c r="D175" s="34" t="s">
        <v>80</v>
      </c>
      <c r="E175" s="44" t="s">
        <v>665</v>
      </c>
    </row>
    <row r="176" spans="1:5">
      <c r="A176" s="40" t="s">
        <v>493</v>
      </c>
      <c r="B176" s="34" t="s">
        <v>305</v>
      </c>
      <c r="C176" s="34" t="s">
        <v>106</v>
      </c>
      <c r="D176" s="34" t="s">
        <v>350</v>
      </c>
      <c r="E176" s="44" t="s">
        <v>666</v>
      </c>
    </row>
  </sheetData>
  <mergeCells count="25">
    <mergeCell ref="A1:M2"/>
    <mergeCell ref="A3:A4"/>
    <mergeCell ref="B3:B4"/>
    <mergeCell ref="C3:C4"/>
    <mergeCell ref="D3:D4"/>
    <mergeCell ref="E3:E4"/>
    <mergeCell ref="F3:F4"/>
    <mergeCell ref="G3:J3"/>
    <mergeCell ref="A44:L44"/>
    <mergeCell ref="K3:K4"/>
    <mergeCell ref="L3:L4"/>
    <mergeCell ref="M3:M4"/>
    <mergeCell ref="A5:L5"/>
    <mergeCell ref="A8:L8"/>
    <mergeCell ref="A11:L11"/>
    <mergeCell ref="A14:L14"/>
    <mergeCell ref="A17:L17"/>
    <mergeCell ref="A20:L20"/>
    <mergeCell ref="A23:L23"/>
    <mergeCell ref="A26:L26"/>
    <mergeCell ref="A51:L51"/>
    <mergeCell ref="A62:L62"/>
    <mergeCell ref="A73:L73"/>
    <mergeCell ref="A83:L83"/>
    <mergeCell ref="A90:L9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selection activeCell="K13" sqref="K13"/>
    </sheetView>
  </sheetViews>
  <sheetFormatPr defaultRowHeight="12.75"/>
  <cols>
    <col min="1" max="1" width="27" style="34" bestFit="1" customWidth="1"/>
    <col min="2" max="2" width="19.140625" style="34" bestFit="1" customWidth="1"/>
    <col min="3" max="3" width="7.7109375" style="34" bestFit="1" customWidth="1"/>
    <col min="4" max="4" width="6.85546875" style="34" bestFit="1" customWidth="1"/>
    <col min="5" max="5" width="17.28515625" style="34" bestFit="1" customWidth="1"/>
    <col min="6" max="6" width="25.7109375" style="34" bestFit="1" customWidth="1"/>
    <col min="7" max="9" width="5.5703125" style="34" bestFit="1" customWidth="1"/>
    <col min="10" max="10" width="4.85546875" style="34" bestFit="1" customWidth="1"/>
    <col min="11" max="11" width="6.7109375" style="34" bestFit="1" customWidth="1"/>
    <col min="12" max="12" width="6.5703125" style="34" bestFit="1" customWidth="1"/>
    <col min="13" max="13" width="7.42578125" style="34" bestFit="1" customWidth="1"/>
  </cols>
  <sheetData>
    <row r="1" spans="1:13" s="1" customFormat="1" ht="15" customHeight="1">
      <c r="A1" s="53" t="s">
        <v>849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1" customFormat="1" ht="13.5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7" customFormat="1" ht="12.75" customHeight="1">
      <c r="A3" s="59" t="s">
        <v>0</v>
      </c>
      <c r="B3" s="61" t="s">
        <v>12</v>
      </c>
      <c r="C3" s="61" t="s">
        <v>11</v>
      </c>
      <c r="D3" s="63" t="s">
        <v>1</v>
      </c>
      <c r="E3" s="63" t="s">
        <v>2</v>
      </c>
      <c r="F3" s="64" t="s">
        <v>3</v>
      </c>
      <c r="G3" s="59" t="s">
        <v>5</v>
      </c>
      <c r="H3" s="63"/>
      <c r="I3" s="63"/>
      <c r="J3" s="66"/>
      <c r="K3" s="67" t="s">
        <v>7</v>
      </c>
      <c r="L3" s="63" t="s">
        <v>9</v>
      </c>
      <c r="M3" s="66" t="s">
        <v>8</v>
      </c>
    </row>
    <row r="4" spans="1:13" s="7" customFormat="1" ht="23.25" customHeight="1" thickBot="1">
      <c r="A4" s="60"/>
      <c r="B4" s="62"/>
      <c r="C4" s="62"/>
      <c r="D4" s="62"/>
      <c r="E4" s="62"/>
      <c r="F4" s="65"/>
      <c r="G4" s="3">
        <v>1</v>
      </c>
      <c r="H4" s="2">
        <v>2</v>
      </c>
      <c r="I4" s="2">
        <v>3</v>
      </c>
      <c r="J4" s="4" t="s">
        <v>10</v>
      </c>
      <c r="K4" s="68"/>
      <c r="L4" s="62"/>
      <c r="M4" s="69"/>
    </row>
    <row r="5" spans="1:13" ht="15">
      <c r="A5" s="70" t="s">
        <v>53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3">
      <c r="A6" s="35" t="s">
        <v>667</v>
      </c>
      <c r="B6" s="35" t="s">
        <v>361</v>
      </c>
      <c r="C6" s="35" t="s">
        <v>668</v>
      </c>
      <c r="D6" s="35" t="str">
        <f>"0,5864"</f>
        <v>0,5864</v>
      </c>
      <c r="E6" s="35" t="s">
        <v>17</v>
      </c>
      <c r="F6" s="35" t="s">
        <v>202</v>
      </c>
      <c r="G6" s="36" t="s">
        <v>344</v>
      </c>
      <c r="H6" s="36" t="s">
        <v>344</v>
      </c>
      <c r="I6" s="36" t="s">
        <v>344</v>
      </c>
      <c r="J6" s="36"/>
      <c r="K6" s="35">
        <v>0</v>
      </c>
      <c r="L6" s="35" t="str">
        <f>"0,0000"</f>
        <v>0,0000</v>
      </c>
      <c r="M6" s="35"/>
    </row>
    <row r="8" spans="1:13" ht="15">
      <c r="E8" s="37" t="s">
        <v>93</v>
      </c>
    </row>
    <row r="9" spans="1:13" ht="15">
      <c r="E9" s="37" t="s">
        <v>94</v>
      </c>
    </row>
    <row r="10" spans="1:13" ht="15">
      <c r="E10" s="37" t="s">
        <v>95</v>
      </c>
    </row>
    <row r="11" spans="1:13">
      <c r="E11" s="34" t="s">
        <v>96</v>
      </c>
    </row>
    <row r="12" spans="1:13">
      <c r="E12" s="34" t="s">
        <v>97</v>
      </c>
    </row>
    <row r="13" spans="1:13">
      <c r="E13" s="34" t="s">
        <v>98</v>
      </c>
    </row>
    <row r="16" spans="1:13" ht="18">
      <c r="A16" s="38" t="s">
        <v>99</v>
      </c>
      <c r="B16" s="38"/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I12" sqref="I12"/>
    </sheetView>
  </sheetViews>
  <sheetFormatPr defaultRowHeight="12.75"/>
  <cols>
    <col min="1" max="1" width="27" style="34" bestFit="1" customWidth="1"/>
    <col min="2" max="2" width="26.85546875" style="34" bestFit="1" customWidth="1"/>
    <col min="3" max="3" width="7.7109375" style="34" bestFit="1" customWidth="1"/>
    <col min="4" max="4" width="6.85546875" style="34" bestFit="1" customWidth="1"/>
    <col min="5" max="5" width="17.28515625" style="34" bestFit="1" customWidth="1"/>
    <col min="6" max="6" width="14.5703125" style="34" bestFit="1" customWidth="1"/>
    <col min="7" max="9" width="5.5703125" style="34" bestFit="1" customWidth="1"/>
    <col min="10" max="10" width="4.85546875" style="34" bestFit="1" customWidth="1"/>
    <col min="11" max="11" width="6.7109375" style="34" bestFit="1" customWidth="1"/>
    <col min="12" max="12" width="8.5703125" style="34" bestFit="1" customWidth="1"/>
    <col min="13" max="13" width="7.42578125" style="34" bestFit="1" customWidth="1"/>
  </cols>
  <sheetData>
    <row r="1" spans="1:13" s="1" customFormat="1" ht="15" customHeight="1">
      <c r="A1" s="53" t="s">
        <v>850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1" customFormat="1" ht="13.5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7" customFormat="1" ht="12.75" customHeight="1">
      <c r="A3" s="59" t="s">
        <v>0</v>
      </c>
      <c r="B3" s="61" t="s">
        <v>12</v>
      </c>
      <c r="C3" s="61" t="s">
        <v>11</v>
      </c>
      <c r="D3" s="63" t="s">
        <v>1</v>
      </c>
      <c r="E3" s="63" t="s">
        <v>2</v>
      </c>
      <c r="F3" s="64" t="s">
        <v>3</v>
      </c>
      <c r="G3" s="59" t="s">
        <v>5</v>
      </c>
      <c r="H3" s="63"/>
      <c r="I3" s="63"/>
      <c r="J3" s="66"/>
      <c r="K3" s="67" t="s">
        <v>7</v>
      </c>
      <c r="L3" s="63" t="s">
        <v>9</v>
      </c>
      <c r="M3" s="66" t="s">
        <v>8</v>
      </c>
    </row>
    <row r="4" spans="1:13" s="7" customFormat="1" ht="23.25" customHeight="1" thickBot="1">
      <c r="A4" s="60"/>
      <c r="B4" s="62"/>
      <c r="C4" s="62"/>
      <c r="D4" s="62"/>
      <c r="E4" s="62"/>
      <c r="F4" s="65"/>
      <c r="G4" s="3">
        <v>1</v>
      </c>
      <c r="H4" s="2">
        <v>2</v>
      </c>
      <c r="I4" s="2">
        <v>3</v>
      </c>
      <c r="J4" s="4" t="s">
        <v>10</v>
      </c>
      <c r="K4" s="68"/>
      <c r="L4" s="62"/>
      <c r="M4" s="69"/>
    </row>
    <row r="5" spans="1:13" ht="15">
      <c r="A5" s="70" t="s">
        <v>53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3">
      <c r="A6" s="35" t="s">
        <v>561</v>
      </c>
      <c r="B6" s="35" t="s">
        <v>562</v>
      </c>
      <c r="C6" s="35" t="s">
        <v>563</v>
      </c>
      <c r="D6" s="35" t="str">
        <f>"0,7361"</f>
        <v>0,7361</v>
      </c>
      <c r="E6" s="35" t="s">
        <v>17</v>
      </c>
      <c r="F6" s="35" t="s">
        <v>511</v>
      </c>
      <c r="G6" s="36" t="s">
        <v>194</v>
      </c>
      <c r="H6" s="36" t="s">
        <v>194</v>
      </c>
      <c r="I6" s="35" t="s">
        <v>194</v>
      </c>
      <c r="J6" s="36"/>
      <c r="K6" s="35">
        <v>190</v>
      </c>
      <c r="L6" s="35" t="str">
        <f>"139,8660"</f>
        <v>139,8660</v>
      </c>
      <c r="M6" s="35"/>
    </row>
    <row r="8" spans="1:13" ht="15">
      <c r="E8" s="37" t="s">
        <v>93</v>
      </c>
    </row>
    <row r="9" spans="1:13" ht="15">
      <c r="E9" s="37" t="s">
        <v>94</v>
      </c>
    </row>
    <row r="10" spans="1:13" ht="15">
      <c r="E10" s="37" t="s">
        <v>95</v>
      </c>
    </row>
    <row r="11" spans="1:13">
      <c r="E11" s="34" t="s">
        <v>96</v>
      </c>
    </row>
    <row r="12" spans="1:13">
      <c r="E12" s="34" t="s">
        <v>97</v>
      </c>
    </row>
    <row r="13" spans="1:13">
      <c r="E13" s="34" t="s">
        <v>98</v>
      </c>
    </row>
    <row r="16" spans="1:13" ht="18">
      <c r="A16" s="38" t="s">
        <v>99</v>
      </c>
      <c r="B16" s="38"/>
    </row>
    <row r="17" spans="1:5" ht="15">
      <c r="A17" s="39" t="s">
        <v>109</v>
      </c>
      <c r="B17" s="39"/>
    </row>
    <row r="18" spans="1:5" ht="14.25">
      <c r="A18" s="41" t="s">
        <v>101</v>
      </c>
      <c r="B18" s="42"/>
    </row>
    <row r="19" spans="1:5" ht="15">
      <c r="A19" s="43" t="s">
        <v>0</v>
      </c>
      <c r="B19" s="43" t="s">
        <v>102</v>
      </c>
      <c r="C19" s="43" t="s">
        <v>103</v>
      </c>
      <c r="D19" s="43" t="s">
        <v>7</v>
      </c>
      <c r="E19" s="43" t="s">
        <v>104</v>
      </c>
    </row>
    <row r="20" spans="1:5">
      <c r="A20" s="40" t="s">
        <v>561</v>
      </c>
      <c r="B20" s="34" t="s">
        <v>300</v>
      </c>
      <c r="C20" s="34" t="s">
        <v>114</v>
      </c>
      <c r="D20" s="34" t="s">
        <v>194</v>
      </c>
      <c r="E20" s="44" t="s">
        <v>839</v>
      </c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>
      <selection activeCell="A12" sqref="A12:L12"/>
    </sheetView>
  </sheetViews>
  <sheetFormatPr defaultRowHeight="12.75"/>
  <cols>
    <col min="1" max="1" width="30.28515625" style="6" bestFit="1" customWidth="1"/>
    <col min="2" max="2" width="26.85546875" style="5" bestFit="1" customWidth="1"/>
    <col min="3" max="3" width="7" style="5" bestFit="1" customWidth="1"/>
    <col min="4" max="4" width="7.5703125" style="5" bestFit="1" customWidth="1"/>
    <col min="5" max="5" width="17.28515625" style="8" bestFit="1" customWidth="1"/>
    <col min="6" max="6" width="28.140625" style="8" bestFit="1" customWidth="1"/>
    <col min="7" max="7" width="4.7109375" style="5" bestFit="1" customWidth="1"/>
    <col min="8" max="8" width="7.5703125" style="5" bestFit="1" customWidth="1"/>
    <col min="9" max="9" width="2.140625" style="5" bestFit="1" customWidth="1"/>
    <col min="10" max="10" width="4.85546875" style="5" bestFit="1" customWidth="1"/>
    <col min="11" max="11" width="6.7109375" style="6" bestFit="1" customWidth="1"/>
    <col min="12" max="12" width="10.5703125" style="5" bestFit="1" customWidth="1"/>
    <col min="13" max="13" width="15.28515625" style="8" bestFit="1" customWidth="1"/>
    <col min="14" max="256" width="9.140625" style="1"/>
    <col min="257" max="257" width="30.28515625" style="1" bestFit="1" customWidth="1"/>
    <col min="258" max="258" width="26.85546875" style="1" bestFit="1" customWidth="1"/>
    <col min="259" max="259" width="7" style="1" bestFit="1" customWidth="1"/>
    <col min="260" max="260" width="7.5703125" style="1" bestFit="1" customWidth="1"/>
    <col min="261" max="261" width="17.28515625" style="1" bestFit="1" customWidth="1"/>
    <col min="262" max="262" width="28.140625" style="1" bestFit="1" customWidth="1"/>
    <col min="263" max="263" width="4.7109375" style="1" bestFit="1" customWidth="1"/>
    <col min="264" max="264" width="7.5703125" style="1" bestFit="1" customWidth="1"/>
    <col min="265" max="265" width="2.140625" style="1" bestFit="1" customWidth="1"/>
    <col min="266" max="266" width="4.85546875" style="1" bestFit="1" customWidth="1"/>
    <col min="267" max="267" width="6.7109375" style="1" bestFit="1" customWidth="1"/>
    <col min="268" max="268" width="10.5703125" style="1" bestFit="1" customWidth="1"/>
    <col min="269" max="269" width="15.28515625" style="1" bestFit="1" customWidth="1"/>
    <col min="270" max="512" width="9.140625" style="1"/>
    <col min="513" max="513" width="30.28515625" style="1" bestFit="1" customWidth="1"/>
    <col min="514" max="514" width="26.85546875" style="1" bestFit="1" customWidth="1"/>
    <col min="515" max="515" width="7" style="1" bestFit="1" customWidth="1"/>
    <col min="516" max="516" width="7.5703125" style="1" bestFit="1" customWidth="1"/>
    <col min="517" max="517" width="17.28515625" style="1" bestFit="1" customWidth="1"/>
    <col min="518" max="518" width="28.140625" style="1" bestFit="1" customWidth="1"/>
    <col min="519" max="519" width="4.7109375" style="1" bestFit="1" customWidth="1"/>
    <col min="520" max="520" width="7.5703125" style="1" bestFit="1" customWidth="1"/>
    <col min="521" max="521" width="2.140625" style="1" bestFit="1" customWidth="1"/>
    <col min="522" max="522" width="4.85546875" style="1" bestFit="1" customWidth="1"/>
    <col min="523" max="523" width="6.7109375" style="1" bestFit="1" customWidth="1"/>
    <col min="524" max="524" width="10.5703125" style="1" bestFit="1" customWidth="1"/>
    <col min="525" max="525" width="15.28515625" style="1" bestFit="1" customWidth="1"/>
    <col min="526" max="768" width="9.140625" style="1"/>
    <col min="769" max="769" width="30.28515625" style="1" bestFit="1" customWidth="1"/>
    <col min="770" max="770" width="26.85546875" style="1" bestFit="1" customWidth="1"/>
    <col min="771" max="771" width="7" style="1" bestFit="1" customWidth="1"/>
    <col min="772" max="772" width="7.5703125" style="1" bestFit="1" customWidth="1"/>
    <col min="773" max="773" width="17.28515625" style="1" bestFit="1" customWidth="1"/>
    <col min="774" max="774" width="28.140625" style="1" bestFit="1" customWidth="1"/>
    <col min="775" max="775" width="4.7109375" style="1" bestFit="1" customWidth="1"/>
    <col min="776" max="776" width="7.5703125" style="1" bestFit="1" customWidth="1"/>
    <col min="777" max="777" width="2.140625" style="1" bestFit="1" customWidth="1"/>
    <col min="778" max="778" width="4.85546875" style="1" bestFit="1" customWidth="1"/>
    <col min="779" max="779" width="6.7109375" style="1" bestFit="1" customWidth="1"/>
    <col min="780" max="780" width="10.5703125" style="1" bestFit="1" customWidth="1"/>
    <col min="781" max="781" width="15.28515625" style="1" bestFit="1" customWidth="1"/>
    <col min="782" max="1024" width="9.140625" style="1"/>
    <col min="1025" max="1025" width="30.28515625" style="1" bestFit="1" customWidth="1"/>
    <col min="1026" max="1026" width="26.85546875" style="1" bestFit="1" customWidth="1"/>
    <col min="1027" max="1027" width="7" style="1" bestFit="1" customWidth="1"/>
    <col min="1028" max="1028" width="7.5703125" style="1" bestFit="1" customWidth="1"/>
    <col min="1029" max="1029" width="17.28515625" style="1" bestFit="1" customWidth="1"/>
    <col min="1030" max="1030" width="28.140625" style="1" bestFit="1" customWidth="1"/>
    <col min="1031" max="1031" width="4.7109375" style="1" bestFit="1" customWidth="1"/>
    <col min="1032" max="1032" width="7.5703125" style="1" bestFit="1" customWidth="1"/>
    <col min="1033" max="1033" width="2.140625" style="1" bestFit="1" customWidth="1"/>
    <col min="1034" max="1034" width="4.85546875" style="1" bestFit="1" customWidth="1"/>
    <col min="1035" max="1035" width="6.7109375" style="1" bestFit="1" customWidth="1"/>
    <col min="1036" max="1036" width="10.5703125" style="1" bestFit="1" customWidth="1"/>
    <col min="1037" max="1037" width="15.28515625" style="1" bestFit="1" customWidth="1"/>
    <col min="1038" max="1280" width="9.140625" style="1"/>
    <col min="1281" max="1281" width="30.28515625" style="1" bestFit="1" customWidth="1"/>
    <col min="1282" max="1282" width="26.85546875" style="1" bestFit="1" customWidth="1"/>
    <col min="1283" max="1283" width="7" style="1" bestFit="1" customWidth="1"/>
    <col min="1284" max="1284" width="7.5703125" style="1" bestFit="1" customWidth="1"/>
    <col min="1285" max="1285" width="17.28515625" style="1" bestFit="1" customWidth="1"/>
    <col min="1286" max="1286" width="28.140625" style="1" bestFit="1" customWidth="1"/>
    <col min="1287" max="1287" width="4.7109375" style="1" bestFit="1" customWidth="1"/>
    <col min="1288" max="1288" width="7.5703125" style="1" bestFit="1" customWidth="1"/>
    <col min="1289" max="1289" width="2.140625" style="1" bestFit="1" customWidth="1"/>
    <col min="1290" max="1290" width="4.85546875" style="1" bestFit="1" customWidth="1"/>
    <col min="1291" max="1291" width="6.7109375" style="1" bestFit="1" customWidth="1"/>
    <col min="1292" max="1292" width="10.5703125" style="1" bestFit="1" customWidth="1"/>
    <col min="1293" max="1293" width="15.28515625" style="1" bestFit="1" customWidth="1"/>
    <col min="1294" max="1536" width="9.140625" style="1"/>
    <col min="1537" max="1537" width="30.28515625" style="1" bestFit="1" customWidth="1"/>
    <col min="1538" max="1538" width="26.85546875" style="1" bestFit="1" customWidth="1"/>
    <col min="1539" max="1539" width="7" style="1" bestFit="1" customWidth="1"/>
    <col min="1540" max="1540" width="7.5703125" style="1" bestFit="1" customWidth="1"/>
    <col min="1541" max="1541" width="17.28515625" style="1" bestFit="1" customWidth="1"/>
    <col min="1542" max="1542" width="28.140625" style="1" bestFit="1" customWidth="1"/>
    <col min="1543" max="1543" width="4.7109375" style="1" bestFit="1" customWidth="1"/>
    <col min="1544" max="1544" width="7.5703125" style="1" bestFit="1" customWidth="1"/>
    <col min="1545" max="1545" width="2.140625" style="1" bestFit="1" customWidth="1"/>
    <col min="1546" max="1546" width="4.85546875" style="1" bestFit="1" customWidth="1"/>
    <col min="1547" max="1547" width="6.7109375" style="1" bestFit="1" customWidth="1"/>
    <col min="1548" max="1548" width="10.5703125" style="1" bestFit="1" customWidth="1"/>
    <col min="1549" max="1549" width="15.28515625" style="1" bestFit="1" customWidth="1"/>
    <col min="1550" max="1792" width="9.140625" style="1"/>
    <col min="1793" max="1793" width="30.28515625" style="1" bestFit="1" customWidth="1"/>
    <col min="1794" max="1794" width="26.85546875" style="1" bestFit="1" customWidth="1"/>
    <col min="1795" max="1795" width="7" style="1" bestFit="1" customWidth="1"/>
    <col min="1796" max="1796" width="7.5703125" style="1" bestFit="1" customWidth="1"/>
    <col min="1797" max="1797" width="17.28515625" style="1" bestFit="1" customWidth="1"/>
    <col min="1798" max="1798" width="28.140625" style="1" bestFit="1" customWidth="1"/>
    <col min="1799" max="1799" width="4.7109375" style="1" bestFit="1" customWidth="1"/>
    <col min="1800" max="1800" width="7.5703125" style="1" bestFit="1" customWidth="1"/>
    <col min="1801" max="1801" width="2.140625" style="1" bestFit="1" customWidth="1"/>
    <col min="1802" max="1802" width="4.85546875" style="1" bestFit="1" customWidth="1"/>
    <col min="1803" max="1803" width="6.7109375" style="1" bestFit="1" customWidth="1"/>
    <col min="1804" max="1804" width="10.5703125" style="1" bestFit="1" customWidth="1"/>
    <col min="1805" max="1805" width="15.28515625" style="1" bestFit="1" customWidth="1"/>
    <col min="1806" max="2048" width="9.140625" style="1"/>
    <col min="2049" max="2049" width="30.28515625" style="1" bestFit="1" customWidth="1"/>
    <col min="2050" max="2050" width="26.85546875" style="1" bestFit="1" customWidth="1"/>
    <col min="2051" max="2051" width="7" style="1" bestFit="1" customWidth="1"/>
    <col min="2052" max="2052" width="7.5703125" style="1" bestFit="1" customWidth="1"/>
    <col min="2053" max="2053" width="17.28515625" style="1" bestFit="1" customWidth="1"/>
    <col min="2054" max="2054" width="28.140625" style="1" bestFit="1" customWidth="1"/>
    <col min="2055" max="2055" width="4.7109375" style="1" bestFit="1" customWidth="1"/>
    <col min="2056" max="2056" width="7.5703125" style="1" bestFit="1" customWidth="1"/>
    <col min="2057" max="2057" width="2.140625" style="1" bestFit="1" customWidth="1"/>
    <col min="2058" max="2058" width="4.85546875" style="1" bestFit="1" customWidth="1"/>
    <col min="2059" max="2059" width="6.7109375" style="1" bestFit="1" customWidth="1"/>
    <col min="2060" max="2060" width="10.5703125" style="1" bestFit="1" customWidth="1"/>
    <col min="2061" max="2061" width="15.28515625" style="1" bestFit="1" customWidth="1"/>
    <col min="2062" max="2304" width="9.140625" style="1"/>
    <col min="2305" max="2305" width="30.28515625" style="1" bestFit="1" customWidth="1"/>
    <col min="2306" max="2306" width="26.85546875" style="1" bestFit="1" customWidth="1"/>
    <col min="2307" max="2307" width="7" style="1" bestFit="1" customWidth="1"/>
    <col min="2308" max="2308" width="7.5703125" style="1" bestFit="1" customWidth="1"/>
    <col min="2309" max="2309" width="17.28515625" style="1" bestFit="1" customWidth="1"/>
    <col min="2310" max="2310" width="28.140625" style="1" bestFit="1" customWidth="1"/>
    <col min="2311" max="2311" width="4.7109375" style="1" bestFit="1" customWidth="1"/>
    <col min="2312" max="2312" width="7.5703125" style="1" bestFit="1" customWidth="1"/>
    <col min="2313" max="2313" width="2.140625" style="1" bestFit="1" customWidth="1"/>
    <col min="2314" max="2314" width="4.85546875" style="1" bestFit="1" customWidth="1"/>
    <col min="2315" max="2315" width="6.7109375" style="1" bestFit="1" customWidth="1"/>
    <col min="2316" max="2316" width="10.5703125" style="1" bestFit="1" customWidth="1"/>
    <col min="2317" max="2317" width="15.28515625" style="1" bestFit="1" customWidth="1"/>
    <col min="2318" max="2560" width="9.140625" style="1"/>
    <col min="2561" max="2561" width="30.28515625" style="1" bestFit="1" customWidth="1"/>
    <col min="2562" max="2562" width="26.85546875" style="1" bestFit="1" customWidth="1"/>
    <col min="2563" max="2563" width="7" style="1" bestFit="1" customWidth="1"/>
    <col min="2564" max="2564" width="7.5703125" style="1" bestFit="1" customWidth="1"/>
    <col min="2565" max="2565" width="17.28515625" style="1" bestFit="1" customWidth="1"/>
    <col min="2566" max="2566" width="28.140625" style="1" bestFit="1" customWidth="1"/>
    <col min="2567" max="2567" width="4.7109375" style="1" bestFit="1" customWidth="1"/>
    <col min="2568" max="2568" width="7.5703125" style="1" bestFit="1" customWidth="1"/>
    <col min="2569" max="2569" width="2.140625" style="1" bestFit="1" customWidth="1"/>
    <col min="2570" max="2570" width="4.85546875" style="1" bestFit="1" customWidth="1"/>
    <col min="2571" max="2571" width="6.7109375" style="1" bestFit="1" customWidth="1"/>
    <col min="2572" max="2572" width="10.5703125" style="1" bestFit="1" customWidth="1"/>
    <col min="2573" max="2573" width="15.28515625" style="1" bestFit="1" customWidth="1"/>
    <col min="2574" max="2816" width="9.140625" style="1"/>
    <col min="2817" max="2817" width="30.28515625" style="1" bestFit="1" customWidth="1"/>
    <col min="2818" max="2818" width="26.85546875" style="1" bestFit="1" customWidth="1"/>
    <col min="2819" max="2819" width="7" style="1" bestFit="1" customWidth="1"/>
    <col min="2820" max="2820" width="7.5703125" style="1" bestFit="1" customWidth="1"/>
    <col min="2821" max="2821" width="17.28515625" style="1" bestFit="1" customWidth="1"/>
    <col min="2822" max="2822" width="28.140625" style="1" bestFit="1" customWidth="1"/>
    <col min="2823" max="2823" width="4.7109375" style="1" bestFit="1" customWidth="1"/>
    <col min="2824" max="2824" width="7.5703125" style="1" bestFit="1" customWidth="1"/>
    <col min="2825" max="2825" width="2.140625" style="1" bestFit="1" customWidth="1"/>
    <col min="2826" max="2826" width="4.85546875" style="1" bestFit="1" customWidth="1"/>
    <col min="2827" max="2827" width="6.7109375" style="1" bestFit="1" customWidth="1"/>
    <col min="2828" max="2828" width="10.5703125" style="1" bestFit="1" customWidth="1"/>
    <col min="2829" max="2829" width="15.28515625" style="1" bestFit="1" customWidth="1"/>
    <col min="2830" max="3072" width="9.140625" style="1"/>
    <col min="3073" max="3073" width="30.28515625" style="1" bestFit="1" customWidth="1"/>
    <col min="3074" max="3074" width="26.85546875" style="1" bestFit="1" customWidth="1"/>
    <col min="3075" max="3075" width="7" style="1" bestFit="1" customWidth="1"/>
    <col min="3076" max="3076" width="7.5703125" style="1" bestFit="1" customWidth="1"/>
    <col min="3077" max="3077" width="17.28515625" style="1" bestFit="1" customWidth="1"/>
    <col min="3078" max="3078" width="28.140625" style="1" bestFit="1" customWidth="1"/>
    <col min="3079" max="3079" width="4.7109375" style="1" bestFit="1" customWidth="1"/>
    <col min="3080" max="3080" width="7.5703125" style="1" bestFit="1" customWidth="1"/>
    <col min="3081" max="3081" width="2.140625" style="1" bestFit="1" customWidth="1"/>
    <col min="3082" max="3082" width="4.85546875" style="1" bestFit="1" customWidth="1"/>
    <col min="3083" max="3083" width="6.7109375" style="1" bestFit="1" customWidth="1"/>
    <col min="3084" max="3084" width="10.5703125" style="1" bestFit="1" customWidth="1"/>
    <col min="3085" max="3085" width="15.28515625" style="1" bestFit="1" customWidth="1"/>
    <col min="3086" max="3328" width="9.140625" style="1"/>
    <col min="3329" max="3329" width="30.28515625" style="1" bestFit="1" customWidth="1"/>
    <col min="3330" max="3330" width="26.85546875" style="1" bestFit="1" customWidth="1"/>
    <col min="3331" max="3331" width="7" style="1" bestFit="1" customWidth="1"/>
    <col min="3332" max="3332" width="7.5703125" style="1" bestFit="1" customWidth="1"/>
    <col min="3333" max="3333" width="17.28515625" style="1" bestFit="1" customWidth="1"/>
    <col min="3334" max="3334" width="28.140625" style="1" bestFit="1" customWidth="1"/>
    <col min="3335" max="3335" width="4.7109375" style="1" bestFit="1" customWidth="1"/>
    <col min="3336" max="3336" width="7.5703125" style="1" bestFit="1" customWidth="1"/>
    <col min="3337" max="3337" width="2.140625" style="1" bestFit="1" customWidth="1"/>
    <col min="3338" max="3338" width="4.85546875" style="1" bestFit="1" customWidth="1"/>
    <col min="3339" max="3339" width="6.7109375" style="1" bestFit="1" customWidth="1"/>
    <col min="3340" max="3340" width="10.5703125" style="1" bestFit="1" customWidth="1"/>
    <col min="3341" max="3341" width="15.28515625" style="1" bestFit="1" customWidth="1"/>
    <col min="3342" max="3584" width="9.140625" style="1"/>
    <col min="3585" max="3585" width="30.28515625" style="1" bestFit="1" customWidth="1"/>
    <col min="3586" max="3586" width="26.85546875" style="1" bestFit="1" customWidth="1"/>
    <col min="3587" max="3587" width="7" style="1" bestFit="1" customWidth="1"/>
    <col min="3588" max="3588" width="7.5703125" style="1" bestFit="1" customWidth="1"/>
    <col min="3589" max="3589" width="17.28515625" style="1" bestFit="1" customWidth="1"/>
    <col min="3590" max="3590" width="28.140625" style="1" bestFit="1" customWidth="1"/>
    <col min="3591" max="3591" width="4.7109375" style="1" bestFit="1" customWidth="1"/>
    <col min="3592" max="3592" width="7.5703125" style="1" bestFit="1" customWidth="1"/>
    <col min="3593" max="3593" width="2.140625" style="1" bestFit="1" customWidth="1"/>
    <col min="3594" max="3594" width="4.85546875" style="1" bestFit="1" customWidth="1"/>
    <col min="3595" max="3595" width="6.7109375" style="1" bestFit="1" customWidth="1"/>
    <col min="3596" max="3596" width="10.5703125" style="1" bestFit="1" customWidth="1"/>
    <col min="3597" max="3597" width="15.28515625" style="1" bestFit="1" customWidth="1"/>
    <col min="3598" max="3840" width="9.140625" style="1"/>
    <col min="3841" max="3841" width="30.28515625" style="1" bestFit="1" customWidth="1"/>
    <col min="3842" max="3842" width="26.85546875" style="1" bestFit="1" customWidth="1"/>
    <col min="3843" max="3843" width="7" style="1" bestFit="1" customWidth="1"/>
    <col min="3844" max="3844" width="7.5703125" style="1" bestFit="1" customWidth="1"/>
    <col min="3845" max="3845" width="17.28515625" style="1" bestFit="1" customWidth="1"/>
    <col min="3846" max="3846" width="28.140625" style="1" bestFit="1" customWidth="1"/>
    <col min="3847" max="3847" width="4.7109375" style="1" bestFit="1" customWidth="1"/>
    <col min="3848" max="3848" width="7.5703125" style="1" bestFit="1" customWidth="1"/>
    <col min="3849" max="3849" width="2.140625" style="1" bestFit="1" customWidth="1"/>
    <col min="3850" max="3850" width="4.85546875" style="1" bestFit="1" customWidth="1"/>
    <col min="3851" max="3851" width="6.7109375" style="1" bestFit="1" customWidth="1"/>
    <col min="3852" max="3852" width="10.5703125" style="1" bestFit="1" customWidth="1"/>
    <col min="3853" max="3853" width="15.28515625" style="1" bestFit="1" customWidth="1"/>
    <col min="3854" max="4096" width="9.140625" style="1"/>
    <col min="4097" max="4097" width="30.28515625" style="1" bestFit="1" customWidth="1"/>
    <col min="4098" max="4098" width="26.85546875" style="1" bestFit="1" customWidth="1"/>
    <col min="4099" max="4099" width="7" style="1" bestFit="1" customWidth="1"/>
    <col min="4100" max="4100" width="7.5703125" style="1" bestFit="1" customWidth="1"/>
    <col min="4101" max="4101" width="17.28515625" style="1" bestFit="1" customWidth="1"/>
    <col min="4102" max="4102" width="28.140625" style="1" bestFit="1" customWidth="1"/>
    <col min="4103" max="4103" width="4.7109375" style="1" bestFit="1" customWidth="1"/>
    <col min="4104" max="4104" width="7.5703125" style="1" bestFit="1" customWidth="1"/>
    <col min="4105" max="4105" width="2.140625" style="1" bestFit="1" customWidth="1"/>
    <col min="4106" max="4106" width="4.85546875" style="1" bestFit="1" customWidth="1"/>
    <col min="4107" max="4107" width="6.7109375" style="1" bestFit="1" customWidth="1"/>
    <col min="4108" max="4108" width="10.5703125" style="1" bestFit="1" customWidth="1"/>
    <col min="4109" max="4109" width="15.28515625" style="1" bestFit="1" customWidth="1"/>
    <col min="4110" max="4352" width="9.140625" style="1"/>
    <col min="4353" max="4353" width="30.28515625" style="1" bestFit="1" customWidth="1"/>
    <col min="4354" max="4354" width="26.85546875" style="1" bestFit="1" customWidth="1"/>
    <col min="4355" max="4355" width="7" style="1" bestFit="1" customWidth="1"/>
    <col min="4356" max="4356" width="7.5703125" style="1" bestFit="1" customWidth="1"/>
    <col min="4357" max="4357" width="17.28515625" style="1" bestFit="1" customWidth="1"/>
    <col min="4358" max="4358" width="28.140625" style="1" bestFit="1" customWidth="1"/>
    <col min="4359" max="4359" width="4.7109375" style="1" bestFit="1" customWidth="1"/>
    <col min="4360" max="4360" width="7.5703125" style="1" bestFit="1" customWidth="1"/>
    <col min="4361" max="4361" width="2.140625" style="1" bestFit="1" customWidth="1"/>
    <col min="4362" max="4362" width="4.85546875" style="1" bestFit="1" customWidth="1"/>
    <col min="4363" max="4363" width="6.7109375" style="1" bestFit="1" customWidth="1"/>
    <col min="4364" max="4364" width="10.5703125" style="1" bestFit="1" customWidth="1"/>
    <col min="4365" max="4365" width="15.28515625" style="1" bestFit="1" customWidth="1"/>
    <col min="4366" max="4608" width="9.140625" style="1"/>
    <col min="4609" max="4609" width="30.28515625" style="1" bestFit="1" customWidth="1"/>
    <col min="4610" max="4610" width="26.85546875" style="1" bestFit="1" customWidth="1"/>
    <col min="4611" max="4611" width="7" style="1" bestFit="1" customWidth="1"/>
    <col min="4612" max="4612" width="7.5703125" style="1" bestFit="1" customWidth="1"/>
    <col min="4613" max="4613" width="17.28515625" style="1" bestFit="1" customWidth="1"/>
    <col min="4614" max="4614" width="28.140625" style="1" bestFit="1" customWidth="1"/>
    <col min="4615" max="4615" width="4.7109375" style="1" bestFit="1" customWidth="1"/>
    <col min="4616" max="4616" width="7.5703125" style="1" bestFit="1" customWidth="1"/>
    <col min="4617" max="4617" width="2.140625" style="1" bestFit="1" customWidth="1"/>
    <col min="4618" max="4618" width="4.85546875" style="1" bestFit="1" customWidth="1"/>
    <col min="4619" max="4619" width="6.7109375" style="1" bestFit="1" customWidth="1"/>
    <col min="4620" max="4620" width="10.5703125" style="1" bestFit="1" customWidth="1"/>
    <col min="4621" max="4621" width="15.28515625" style="1" bestFit="1" customWidth="1"/>
    <col min="4622" max="4864" width="9.140625" style="1"/>
    <col min="4865" max="4865" width="30.28515625" style="1" bestFit="1" customWidth="1"/>
    <col min="4866" max="4866" width="26.85546875" style="1" bestFit="1" customWidth="1"/>
    <col min="4867" max="4867" width="7" style="1" bestFit="1" customWidth="1"/>
    <col min="4868" max="4868" width="7.5703125" style="1" bestFit="1" customWidth="1"/>
    <col min="4869" max="4869" width="17.28515625" style="1" bestFit="1" customWidth="1"/>
    <col min="4870" max="4870" width="28.140625" style="1" bestFit="1" customWidth="1"/>
    <col min="4871" max="4871" width="4.7109375" style="1" bestFit="1" customWidth="1"/>
    <col min="4872" max="4872" width="7.5703125" style="1" bestFit="1" customWidth="1"/>
    <col min="4873" max="4873" width="2.140625" style="1" bestFit="1" customWidth="1"/>
    <col min="4874" max="4874" width="4.85546875" style="1" bestFit="1" customWidth="1"/>
    <col min="4875" max="4875" width="6.7109375" style="1" bestFit="1" customWidth="1"/>
    <col min="4876" max="4876" width="10.5703125" style="1" bestFit="1" customWidth="1"/>
    <col min="4877" max="4877" width="15.28515625" style="1" bestFit="1" customWidth="1"/>
    <col min="4878" max="5120" width="9.140625" style="1"/>
    <col min="5121" max="5121" width="30.28515625" style="1" bestFit="1" customWidth="1"/>
    <col min="5122" max="5122" width="26.85546875" style="1" bestFit="1" customWidth="1"/>
    <col min="5123" max="5123" width="7" style="1" bestFit="1" customWidth="1"/>
    <col min="5124" max="5124" width="7.5703125" style="1" bestFit="1" customWidth="1"/>
    <col min="5125" max="5125" width="17.28515625" style="1" bestFit="1" customWidth="1"/>
    <col min="5126" max="5126" width="28.140625" style="1" bestFit="1" customWidth="1"/>
    <col min="5127" max="5127" width="4.7109375" style="1" bestFit="1" customWidth="1"/>
    <col min="5128" max="5128" width="7.5703125" style="1" bestFit="1" customWidth="1"/>
    <col min="5129" max="5129" width="2.140625" style="1" bestFit="1" customWidth="1"/>
    <col min="5130" max="5130" width="4.85546875" style="1" bestFit="1" customWidth="1"/>
    <col min="5131" max="5131" width="6.7109375" style="1" bestFit="1" customWidth="1"/>
    <col min="5132" max="5132" width="10.5703125" style="1" bestFit="1" customWidth="1"/>
    <col min="5133" max="5133" width="15.28515625" style="1" bestFit="1" customWidth="1"/>
    <col min="5134" max="5376" width="9.140625" style="1"/>
    <col min="5377" max="5377" width="30.28515625" style="1" bestFit="1" customWidth="1"/>
    <col min="5378" max="5378" width="26.85546875" style="1" bestFit="1" customWidth="1"/>
    <col min="5379" max="5379" width="7" style="1" bestFit="1" customWidth="1"/>
    <col min="5380" max="5380" width="7.5703125" style="1" bestFit="1" customWidth="1"/>
    <col min="5381" max="5381" width="17.28515625" style="1" bestFit="1" customWidth="1"/>
    <col min="5382" max="5382" width="28.140625" style="1" bestFit="1" customWidth="1"/>
    <col min="5383" max="5383" width="4.7109375" style="1" bestFit="1" customWidth="1"/>
    <col min="5384" max="5384" width="7.5703125" style="1" bestFit="1" customWidth="1"/>
    <col min="5385" max="5385" width="2.140625" style="1" bestFit="1" customWidth="1"/>
    <col min="5386" max="5386" width="4.85546875" style="1" bestFit="1" customWidth="1"/>
    <col min="5387" max="5387" width="6.7109375" style="1" bestFit="1" customWidth="1"/>
    <col min="5388" max="5388" width="10.5703125" style="1" bestFit="1" customWidth="1"/>
    <col min="5389" max="5389" width="15.28515625" style="1" bestFit="1" customWidth="1"/>
    <col min="5390" max="5632" width="9.140625" style="1"/>
    <col min="5633" max="5633" width="30.28515625" style="1" bestFit="1" customWidth="1"/>
    <col min="5634" max="5634" width="26.85546875" style="1" bestFit="1" customWidth="1"/>
    <col min="5635" max="5635" width="7" style="1" bestFit="1" customWidth="1"/>
    <col min="5636" max="5636" width="7.5703125" style="1" bestFit="1" customWidth="1"/>
    <col min="5637" max="5637" width="17.28515625" style="1" bestFit="1" customWidth="1"/>
    <col min="5638" max="5638" width="28.140625" style="1" bestFit="1" customWidth="1"/>
    <col min="5639" max="5639" width="4.7109375" style="1" bestFit="1" customWidth="1"/>
    <col min="5640" max="5640" width="7.5703125" style="1" bestFit="1" customWidth="1"/>
    <col min="5641" max="5641" width="2.140625" style="1" bestFit="1" customWidth="1"/>
    <col min="5642" max="5642" width="4.85546875" style="1" bestFit="1" customWidth="1"/>
    <col min="5643" max="5643" width="6.7109375" style="1" bestFit="1" customWidth="1"/>
    <col min="5644" max="5644" width="10.5703125" style="1" bestFit="1" customWidth="1"/>
    <col min="5645" max="5645" width="15.28515625" style="1" bestFit="1" customWidth="1"/>
    <col min="5646" max="5888" width="9.140625" style="1"/>
    <col min="5889" max="5889" width="30.28515625" style="1" bestFit="1" customWidth="1"/>
    <col min="5890" max="5890" width="26.85546875" style="1" bestFit="1" customWidth="1"/>
    <col min="5891" max="5891" width="7" style="1" bestFit="1" customWidth="1"/>
    <col min="5892" max="5892" width="7.5703125" style="1" bestFit="1" customWidth="1"/>
    <col min="5893" max="5893" width="17.28515625" style="1" bestFit="1" customWidth="1"/>
    <col min="5894" max="5894" width="28.140625" style="1" bestFit="1" customWidth="1"/>
    <col min="5895" max="5895" width="4.7109375" style="1" bestFit="1" customWidth="1"/>
    <col min="5896" max="5896" width="7.5703125" style="1" bestFit="1" customWidth="1"/>
    <col min="5897" max="5897" width="2.140625" style="1" bestFit="1" customWidth="1"/>
    <col min="5898" max="5898" width="4.85546875" style="1" bestFit="1" customWidth="1"/>
    <col min="5899" max="5899" width="6.7109375" style="1" bestFit="1" customWidth="1"/>
    <col min="5900" max="5900" width="10.5703125" style="1" bestFit="1" customWidth="1"/>
    <col min="5901" max="5901" width="15.28515625" style="1" bestFit="1" customWidth="1"/>
    <col min="5902" max="6144" width="9.140625" style="1"/>
    <col min="6145" max="6145" width="30.28515625" style="1" bestFit="1" customWidth="1"/>
    <col min="6146" max="6146" width="26.85546875" style="1" bestFit="1" customWidth="1"/>
    <col min="6147" max="6147" width="7" style="1" bestFit="1" customWidth="1"/>
    <col min="6148" max="6148" width="7.5703125" style="1" bestFit="1" customWidth="1"/>
    <col min="6149" max="6149" width="17.28515625" style="1" bestFit="1" customWidth="1"/>
    <col min="6150" max="6150" width="28.140625" style="1" bestFit="1" customWidth="1"/>
    <col min="6151" max="6151" width="4.7109375" style="1" bestFit="1" customWidth="1"/>
    <col min="6152" max="6152" width="7.5703125" style="1" bestFit="1" customWidth="1"/>
    <col min="6153" max="6153" width="2.140625" style="1" bestFit="1" customWidth="1"/>
    <col min="6154" max="6154" width="4.85546875" style="1" bestFit="1" customWidth="1"/>
    <col min="6155" max="6155" width="6.7109375" style="1" bestFit="1" customWidth="1"/>
    <col min="6156" max="6156" width="10.5703125" style="1" bestFit="1" customWidth="1"/>
    <col min="6157" max="6157" width="15.28515625" style="1" bestFit="1" customWidth="1"/>
    <col min="6158" max="6400" width="9.140625" style="1"/>
    <col min="6401" max="6401" width="30.28515625" style="1" bestFit="1" customWidth="1"/>
    <col min="6402" max="6402" width="26.85546875" style="1" bestFit="1" customWidth="1"/>
    <col min="6403" max="6403" width="7" style="1" bestFit="1" customWidth="1"/>
    <col min="6404" max="6404" width="7.5703125" style="1" bestFit="1" customWidth="1"/>
    <col min="6405" max="6405" width="17.28515625" style="1" bestFit="1" customWidth="1"/>
    <col min="6406" max="6406" width="28.140625" style="1" bestFit="1" customWidth="1"/>
    <col min="6407" max="6407" width="4.7109375" style="1" bestFit="1" customWidth="1"/>
    <col min="6408" max="6408" width="7.5703125" style="1" bestFit="1" customWidth="1"/>
    <col min="6409" max="6409" width="2.140625" style="1" bestFit="1" customWidth="1"/>
    <col min="6410" max="6410" width="4.85546875" style="1" bestFit="1" customWidth="1"/>
    <col min="6411" max="6411" width="6.7109375" style="1" bestFit="1" customWidth="1"/>
    <col min="6412" max="6412" width="10.5703125" style="1" bestFit="1" customWidth="1"/>
    <col min="6413" max="6413" width="15.28515625" style="1" bestFit="1" customWidth="1"/>
    <col min="6414" max="6656" width="9.140625" style="1"/>
    <col min="6657" max="6657" width="30.28515625" style="1" bestFit="1" customWidth="1"/>
    <col min="6658" max="6658" width="26.85546875" style="1" bestFit="1" customWidth="1"/>
    <col min="6659" max="6659" width="7" style="1" bestFit="1" customWidth="1"/>
    <col min="6660" max="6660" width="7.5703125" style="1" bestFit="1" customWidth="1"/>
    <col min="6661" max="6661" width="17.28515625" style="1" bestFit="1" customWidth="1"/>
    <col min="6662" max="6662" width="28.140625" style="1" bestFit="1" customWidth="1"/>
    <col min="6663" max="6663" width="4.7109375" style="1" bestFit="1" customWidth="1"/>
    <col min="6664" max="6664" width="7.5703125" style="1" bestFit="1" customWidth="1"/>
    <col min="6665" max="6665" width="2.140625" style="1" bestFit="1" customWidth="1"/>
    <col min="6666" max="6666" width="4.85546875" style="1" bestFit="1" customWidth="1"/>
    <col min="6667" max="6667" width="6.7109375" style="1" bestFit="1" customWidth="1"/>
    <col min="6668" max="6668" width="10.5703125" style="1" bestFit="1" customWidth="1"/>
    <col min="6669" max="6669" width="15.28515625" style="1" bestFit="1" customWidth="1"/>
    <col min="6670" max="6912" width="9.140625" style="1"/>
    <col min="6913" max="6913" width="30.28515625" style="1" bestFit="1" customWidth="1"/>
    <col min="6914" max="6914" width="26.85546875" style="1" bestFit="1" customWidth="1"/>
    <col min="6915" max="6915" width="7" style="1" bestFit="1" customWidth="1"/>
    <col min="6916" max="6916" width="7.5703125" style="1" bestFit="1" customWidth="1"/>
    <col min="6917" max="6917" width="17.28515625" style="1" bestFit="1" customWidth="1"/>
    <col min="6918" max="6918" width="28.140625" style="1" bestFit="1" customWidth="1"/>
    <col min="6919" max="6919" width="4.7109375" style="1" bestFit="1" customWidth="1"/>
    <col min="6920" max="6920" width="7.5703125" style="1" bestFit="1" customWidth="1"/>
    <col min="6921" max="6921" width="2.140625" style="1" bestFit="1" customWidth="1"/>
    <col min="6922" max="6922" width="4.85546875" style="1" bestFit="1" customWidth="1"/>
    <col min="6923" max="6923" width="6.7109375" style="1" bestFit="1" customWidth="1"/>
    <col min="6924" max="6924" width="10.5703125" style="1" bestFit="1" customWidth="1"/>
    <col min="6925" max="6925" width="15.28515625" style="1" bestFit="1" customWidth="1"/>
    <col min="6926" max="7168" width="9.140625" style="1"/>
    <col min="7169" max="7169" width="30.28515625" style="1" bestFit="1" customWidth="1"/>
    <col min="7170" max="7170" width="26.85546875" style="1" bestFit="1" customWidth="1"/>
    <col min="7171" max="7171" width="7" style="1" bestFit="1" customWidth="1"/>
    <col min="7172" max="7172" width="7.5703125" style="1" bestFit="1" customWidth="1"/>
    <col min="7173" max="7173" width="17.28515625" style="1" bestFit="1" customWidth="1"/>
    <col min="7174" max="7174" width="28.140625" style="1" bestFit="1" customWidth="1"/>
    <col min="7175" max="7175" width="4.7109375" style="1" bestFit="1" customWidth="1"/>
    <col min="7176" max="7176" width="7.5703125" style="1" bestFit="1" customWidth="1"/>
    <col min="7177" max="7177" width="2.140625" style="1" bestFit="1" customWidth="1"/>
    <col min="7178" max="7178" width="4.85546875" style="1" bestFit="1" customWidth="1"/>
    <col min="7179" max="7179" width="6.7109375" style="1" bestFit="1" customWidth="1"/>
    <col min="7180" max="7180" width="10.5703125" style="1" bestFit="1" customWidth="1"/>
    <col min="7181" max="7181" width="15.28515625" style="1" bestFit="1" customWidth="1"/>
    <col min="7182" max="7424" width="9.140625" style="1"/>
    <col min="7425" max="7425" width="30.28515625" style="1" bestFit="1" customWidth="1"/>
    <col min="7426" max="7426" width="26.85546875" style="1" bestFit="1" customWidth="1"/>
    <col min="7427" max="7427" width="7" style="1" bestFit="1" customWidth="1"/>
    <col min="7428" max="7428" width="7.5703125" style="1" bestFit="1" customWidth="1"/>
    <col min="7429" max="7429" width="17.28515625" style="1" bestFit="1" customWidth="1"/>
    <col min="7430" max="7430" width="28.140625" style="1" bestFit="1" customWidth="1"/>
    <col min="7431" max="7431" width="4.7109375" style="1" bestFit="1" customWidth="1"/>
    <col min="7432" max="7432" width="7.5703125" style="1" bestFit="1" customWidth="1"/>
    <col min="7433" max="7433" width="2.140625" style="1" bestFit="1" customWidth="1"/>
    <col min="7434" max="7434" width="4.85546875" style="1" bestFit="1" customWidth="1"/>
    <col min="7435" max="7435" width="6.7109375" style="1" bestFit="1" customWidth="1"/>
    <col min="7436" max="7436" width="10.5703125" style="1" bestFit="1" customWidth="1"/>
    <col min="7437" max="7437" width="15.28515625" style="1" bestFit="1" customWidth="1"/>
    <col min="7438" max="7680" width="9.140625" style="1"/>
    <col min="7681" max="7681" width="30.28515625" style="1" bestFit="1" customWidth="1"/>
    <col min="7682" max="7682" width="26.85546875" style="1" bestFit="1" customWidth="1"/>
    <col min="7683" max="7683" width="7" style="1" bestFit="1" customWidth="1"/>
    <col min="7684" max="7684" width="7.5703125" style="1" bestFit="1" customWidth="1"/>
    <col min="7685" max="7685" width="17.28515625" style="1" bestFit="1" customWidth="1"/>
    <col min="7686" max="7686" width="28.140625" style="1" bestFit="1" customWidth="1"/>
    <col min="7687" max="7687" width="4.7109375" style="1" bestFit="1" customWidth="1"/>
    <col min="7688" max="7688" width="7.5703125" style="1" bestFit="1" customWidth="1"/>
    <col min="7689" max="7689" width="2.140625" style="1" bestFit="1" customWidth="1"/>
    <col min="7690" max="7690" width="4.85546875" style="1" bestFit="1" customWidth="1"/>
    <col min="7691" max="7691" width="6.7109375" style="1" bestFit="1" customWidth="1"/>
    <col min="7692" max="7692" width="10.5703125" style="1" bestFit="1" customWidth="1"/>
    <col min="7693" max="7693" width="15.28515625" style="1" bestFit="1" customWidth="1"/>
    <col min="7694" max="7936" width="9.140625" style="1"/>
    <col min="7937" max="7937" width="30.28515625" style="1" bestFit="1" customWidth="1"/>
    <col min="7938" max="7938" width="26.85546875" style="1" bestFit="1" customWidth="1"/>
    <col min="7939" max="7939" width="7" style="1" bestFit="1" customWidth="1"/>
    <col min="7940" max="7940" width="7.5703125" style="1" bestFit="1" customWidth="1"/>
    <col min="7941" max="7941" width="17.28515625" style="1" bestFit="1" customWidth="1"/>
    <col min="7942" max="7942" width="28.140625" style="1" bestFit="1" customWidth="1"/>
    <col min="7943" max="7943" width="4.7109375" style="1" bestFit="1" customWidth="1"/>
    <col min="7944" max="7944" width="7.5703125" style="1" bestFit="1" customWidth="1"/>
    <col min="7945" max="7945" width="2.140625" style="1" bestFit="1" customWidth="1"/>
    <col min="7946" max="7946" width="4.85546875" style="1" bestFit="1" customWidth="1"/>
    <col min="7947" max="7947" width="6.7109375" style="1" bestFit="1" customWidth="1"/>
    <col min="7948" max="7948" width="10.5703125" style="1" bestFit="1" customWidth="1"/>
    <col min="7949" max="7949" width="15.28515625" style="1" bestFit="1" customWidth="1"/>
    <col min="7950" max="8192" width="9.140625" style="1"/>
    <col min="8193" max="8193" width="30.28515625" style="1" bestFit="1" customWidth="1"/>
    <col min="8194" max="8194" width="26.85546875" style="1" bestFit="1" customWidth="1"/>
    <col min="8195" max="8195" width="7" style="1" bestFit="1" customWidth="1"/>
    <col min="8196" max="8196" width="7.5703125" style="1" bestFit="1" customWidth="1"/>
    <col min="8197" max="8197" width="17.28515625" style="1" bestFit="1" customWidth="1"/>
    <col min="8198" max="8198" width="28.140625" style="1" bestFit="1" customWidth="1"/>
    <col min="8199" max="8199" width="4.7109375" style="1" bestFit="1" customWidth="1"/>
    <col min="8200" max="8200" width="7.5703125" style="1" bestFit="1" customWidth="1"/>
    <col min="8201" max="8201" width="2.140625" style="1" bestFit="1" customWidth="1"/>
    <col min="8202" max="8202" width="4.85546875" style="1" bestFit="1" customWidth="1"/>
    <col min="8203" max="8203" width="6.7109375" style="1" bestFit="1" customWidth="1"/>
    <col min="8204" max="8204" width="10.5703125" style="1" bestFit="1" customWidth="1"/>
    <col min="8205" max="8205" width="15.28515625" style="1" bestFit="1" customWidth="1"/>
    <col min="8206" max="8448" width="9.140625" style="1"/>
    <col min="8449" max="8449" width="30.28515625" style="1" bestFit="1" customWidth="1"/>
    <col min="8450" max="8450" width="26.85546875" style="1" bestFit="1" customWidth="1"/>
    <col min="8451" max="8451" width="7" style="1" bestFit="1" customWidth="1"/>
    <col min="8452" max="8452" width="7.5703125" style="1" bestFit="1" customWidth="1"/>
    <col min="8453" max="8453" width="17.28515625" style="1" bestFit="1" customWidth="1"/>
    <col min="8454" max="8454" width="28.140625" style="1" bestFit="1" customWidth="1"/>
    <col min="8455" max="8455" width="4.7109375" style="1" bestFit="1" customWidth="1"/>
    <col min="8456" max="8456" width="7.5703125" style="1" bestFit="1" customWidth="1"/>
    <col min="8457" max="8457" width="2.140625" style="1" bestFit="1" customWidth="1"/>
    <col min="8458" max="8458" width="4.85546875" style="1" bestFit="1" customWidth="1"/>
    <col min="8459" max="8459" width="6.7109375" style="1" bestFit="1" customWidth="1"/>
    <col min="8460" max="8460" width="10.5703125" style="1" bestFit="1" customWidth="1"/>
    <col min="8461" max="8461" width="15.28515625" style="1" bestFit="1" customWidth="1"/>
    <col min="8462" max="8704" width="9.140625" style="1"/>
    <col min="8705" max="8705" width="30.28515625" style="1" bestFit="1" customWidth="1"/>
    <col min="8706" max="8706" width="26.85546875" style="1" bestFit="1" customWidth="1"/>
    <col min="8707" max="8707" width="7" style="1" bestFit="1" customWidth="1"/>
    <col min="8708" max="8708" width="7.5703125" style="1" bestFit="1" customWidth="1"/>
    <col min="8709" max="8709" width="17.28515625" style="1" bestFit="1" customWidth="1"/>
    <col min="8710" max="8710" width="28.140625" style="1" bestFit="1" customWidth="1"/>
    <col min="8711" max="8711" width="4.7109375" style="1" bestFit="1" customWidth="1"/>
    <col min="8712" max="8712" width="7.5703125" style="1" bestFit="1" customWidth="1"/>
    <col min="8713" max="8713" width="2.140625" style="1" bestFit="1" customWidth="1"/>
    <col min="8714" max="8714" width="4.85546875" style="1" bestFit="1" customWidth="1"/>
    <col min="8715" max="8715" width="6.7109375" style="1" bestFit="1" customWidth="1"/>
    <col min="8716" max="8716" width="10.5703125" style="1" bestFit="1" customWidth="1"/>
    <col min="8717" max="8717" width="15.28515625" style="1" bestFit="1" customWidth="1"/>
    <col min="8718" max="8960" width="9.140625" style="1"/>
    <col min="8961" max="8961" width="30.28515625" style="1" bestFit="1" customWidth="1"/>
    <col min="8962" max="8962" width="26.85546875" style="1" bestFit="1" customWidth="1"/>
    <col min="8963" max="8963" width="7" style="1" bestFit="1" customWidth="1"/>
    <col min="8964" max="8964" width="7.5703125" style="1" bestFit="1" customWidth="1"/>
    <col min="8965" max="8965" width="17.28515625" style="1" bestFit="1" customWidth="1"/>
    <col min="8966" max="8966" width="28.140625" style="1" bestFit="1" customWidth="1"/>
    <col min="8967" max="8967" width="4.7109375" style="1" bestFit="1" customWidth="1"/>
    <col min="8968" max="8968" width="7.5703125" style="1" bestFit="1" customWidth="1"/>
    <col min="8969" max="8969" width="2.140625" style="1" bestFit="1" customWidth="1"/>
    <col min="8970" max="8970" width="4.85546875" style="1" bestFit="1" customWidth="1"/>
    <col min="8971" max="8971" width="6.7109375" style="1" bestFit="1" customWidth="1"/>
    <col min="8972" max="8972" width="10.5703125" style="1" bestFit="1" customWidth="1"/>
    <col min="8973" max="8973" width="15.28515625" style="1" bestFit="1" customWidth="1"/>
    <col min="8974" max="9216" width="9.140625" style="1"/>
    <col min="9217" max="9217" width="30.28515625" style="1" bestFit="1" customWidth="1"/>
    <col min="9218" max="9218" width="26.85546875" style="1" bestFit="1" customWidth="1"/>
    <col min="9219" max="9219" width="7" style="1" bestFit="1" customWidth="1"/>
    <col min="9220" max="9220" width="7.5703125" style="1" bestFit="1" customWidth="1"/>
    <col min="9221" max="9221" width="17.28515625" style="1" bestFit="1" customWidth="1"/>
    <col min="9222" max="9222" width="28.140625" style="1" bestFit="1" customWidth="1"/>
    <col min="9223" max="9223" width="4.7109375" style="1" bestFit="1" customWidth="1"/>
    <col min="9224" max="9224" width="7.5703125" style="1" bestFit="1" customWidth="1"/>
    <col min="9225" max="9225" width="2.140625" style="1" bestFit="1" customWidth="1"/>
    <col min="9226" max="9226" width="4.85546875" style="1" bestFit="1" customWidth="1"/>
    <col min="9227" max="9227" width="6.7109375" style="1" bestFit="1" customWidth="1"/>
    <col min="9228" max="9228" width="10.5703125" style="1" bestFit="1" customWidth="1"/>
    <col min="9229" max="9229" width="15.28515625" style="1" bestFit="1" customWidth="1"/>
    <col min="9230" max="9472" width="9.140625" style="1"/>
    <col min="9473" max="9473" width="30.28515625" style="1" bestFit="1" customWidth="1"/>
    <col min="9474" max="9474" width="26.85546875" style="1" bestFit="1" customWidth="1"/>
    <col min="9475" max="9475" width="7" style="1" bestFit="1" customWidth="1"/>
    <col min="9476" max="9476" width="7.5703125" style="1" bestFit="1" customWidth="1"/>
    <col min="9477" max="9477" width="17.28515625" style="1" bestFit="1" customWidth="1"/>
    <col min="9478" max="9478" width="28.140625" style="1" bestFit="1" customWidth="1"/>
    <col min="9479" max="9479" width="4.7109375" style="1" bestFit="1" customWidth="1"/>
    <col min="9480" max="9480" width="7.5703125" style="1" bestFit="1" customWidth="1"/>
    <col min="9481" max="9481" width="2.140625" style="1" bestFit="1" customWidth="1"/>
    <col min="9482" max="9482" width="4.85546875" style="1" bestFit="1" customWidth="1"/>
    <col min="9483" max="9483" width="6.7109375" style="1" bestFit="1" customWidth="1"/>
    <col min="9484" max="9484" width="10.5703125" style="1" bestFit="1" customWidth="1"/>
    <col min="9485" max="9485" width="15.28515625" style="1" bestFit="1" customWidth="1"/>
    <col min="9486" max="9728" width="9.140625" style="1"/>
    <col min="9729" max="9729" width="30.28515625" style="1" bestFit="1" customWidth="1"/>
    <col min="9730" max="9730" width="26.85546875" style="1" bestFit="1" customWidth="1"/>
    <col min="9731" max="9731" width="7" style="1" bestFit="1" customWidth="1"/>
    <col min="9732" max="9732" width="7.5703125" style="1" bestFit="1" customWidth="1"/>
    <col min="9733" max="9733" width="17.28515625" style="1" bestFit="1" customWidth="1"/>
    <col min="9734" max="9734" width="28.140625" style="1" bestFit="1" customWidth="1"/>
    <col min="9735" max="9735" width="4.7109375" style="1" bestFit="1" customWidth="1"/>
    <col min="9736" max="9736" width="7.5703125" style="1" bestFit="1" customWidth="1"/>
    <col min="9737" max="9737" width="2.140625" style="1" bestFit="1" customWidth="1"/>
    <col min="9738" max="9738" width="4.85546875" style="1" bestFit="1" customWidth="1"/>
    <col min="9739" max="9739" width="6.7109375" style="1" bestFit="1" customWidth="1"/>
    <col min="9740" max="9740" width="10.5703125" style="1" bestFit="1" customWidth="1"/>
    <col min="9741" max="9741" width="15.28515625" style="1" bestFit="1" customWidth="1"/>
    <col min="9742" max="9984" width="9.140625" style="1"/>
    <col min="9985" max="9985" width="30.28515625" style="1" bestFit="1" customWidth="1"/>
    <col min="9986" max="9986" width="26.85546875" style="1" bestFit="1" customWidth="1"/>
    <col min="9987" max="9987" width="7" style="1" bestFit="1" customWidth="1"/>
    <col min="9988" max="9988" width="7.5703125" style="1" bestFit="1" customWidth="1"/>
    <col min="9989" max="9989" width="17.28515625" style="1" bestFit="1" customWidth="1"/>
    <col min="9990" max="9990" width="28.140625" style="1" bestFit="1" customWidth="1"/>
    <col min="9991" max="9991" width="4.7109375" style="1" bestFit="1" customWidth="1"/>
    <col min="9992" max="9992" width="7.5703125" style="1" bestFit="1" customWidth="1"/>
    <col min="9993" max="9993" width="2.140625" style="1" bestFit="1" customWidth="1"/>
    <col min="9994" max="9994" width="4.85546875" style="1" bestFit="1" customWidth="1"/>
    <col min="9995" max="9995" width="6.7109375" style="1" bestFit="1" customWidth="1"/>
    <col min="9996" max="9996" width="10.5703125" style="1" bestFit="1" customWidth="1"/>
    <col min="9997" max="9997" width="15.28515625" style="1" bestFit="1" customWidth="1"/>
    <col min="9998" max="10240" width="9.140625" style="1"/>
    <col min="10241" max="10241" width="30.28515625" style="1" bestFit="1" customWidth="1"/>
    <col min="10242" max="10242" width="26.85546875" style="1" bestFit="1" customWidth="1"/>
    <col min="10243" max="10243" width="7" style="1" bestFit="1" customWidth="1"/>
    <col min="10244" max="10244" width="7.5703125" style="1" bestFit="1" customWidth="1"/>
    <col min="10245" max="10245" width="17.28515625" style="1" bestFit="1" customWidth="1"/>
    <col min="10246" max="10246" width="28.140625" style="1" bestFit="1" customWidth="1"/>
    <col min="10247" max="10247" width="4.7109375" style="1" bestFit="1" customWidth="1"/>
    <col min="10248" max="10248" width="7.5703125" style="1" bestFit="1" customWidth="1"/>
    <col min="10249" max="10249" width="2.140625" style="1" bestFit="1" customWidth="1"/>
    <col min="10250" max="10250" width="4.85546875" style="1" bestFit="1" customWidth="1"/>
    <col min="10251" max="10251" width="6.7109375" style="1" bestFit="1" customWidth="1"/>
    <col min="10252" max="10252" width="10.5703125" style="1" bestFit="1" customWidth="1"/>
    <col min="10253" max="10253" width="15.28515625" style="1" bestFit="1" customWidth="1"/>
    <col min="10254" max="10496" width="9.140625" style="1"/>
    <col min="10497" max="10497" width="30.28515625" style="1" bestFit="1" customWidth="1"/>
    <col min="10498" max="10498" width="26.85546875" style="1" bestFit="1" customWidth="1"/>
    <col min="10499" max="10499" width="7" style="1" bestFit="1" customWidth="1"/>
    <col min="10500" max="10500" width="7.5703125" style="1" bestFit="1" customWidth="1"/>
    <col min="10501" max="10501" width="17.28515625" style="1" bestFit="1" customWidth="1"/>
    <col min="10502" max="10502" width="28.140625" style="1" bestFit="1" customWidth="1"/>
    <col min="10503" max="10503" width="4.7109375" style="1" bestFit="1" customWidth="1"/>
    <col min="10504" max="10504" width="7.5703125" style="1" bestFit="1" customWidth="1"/>
    <col min="10505" max="10505" width="2.140625" style="1" bestFit="1" customWidth="1"/>
    <col min="10506" max="10506" width="4.85546875" style="1" bestFit="1" customWidth="1"/>
    <col min="10507" max="10507" width="6.7109375" style="1" bestFit="1" customWidth="1"/>
    <col min="10508" max="10508" width="10.5703125" style="1" bestFit="1" customWidth="1"/>
    <col min="10509" max="10509" width="15.28515625" style="1" bestFit="1" customWidth="1"/>
    <col min="10510" max="10752" width="9.140625" style="1"/>
    <col min="10753" max="10753" width="30.28515625" style="1" bestFit="1" customWidth="1"/>
    <col min="10754" max="10754" width="26.85546875" style="1" bestFit="1" customWidth="1"/>
    <col min="10755" max="10755" width="7" style="1" bestFit="1" customWidth="1"/>
    <col min="10756" max="10756" width="7.5703125" style="1" bestFit="1" customWidth="1"/>
    <col min="10757" max="10757" width="17.28515625" style="1" bestFit="1" customWidth="1"/>
    <col min="10758" max="10758" width="28.140625" style="1" bestFit="1" customWidth="1"/>
    <col min="10759" max="10759" width="4.7109375" style="1" bestFit="1" customWidth="1"/>
    <col min="10760" max="10760" width="7.5703125" style="1" bestFit="1" customWidth="1"/>
    <col min="10761" max="10761" width="2.140625" style="1" bestFit="1" customWidth="1"/>
    <col min="10762" max="10762" width="4.85546875" style="1" bestFit="1" customWidth="1"/>
    <col min="10763" max="10763" width="6.7109375" style="1" bestFit="1" customWidth="1"/>
    <col min="10764" max="10764" width="10.5703125" style="1" bestFit="1" customWidth="1"/>
    <col min="10765" max="10765" width="15.28515625" style="1" bestFit="1" customWidth="1"/>
    <col min="10766" max="11008" width="9.140625" style="1"/>
    <col min="11009" max="11009" width="30.28515625" style="1" bestFit="1" customWidth="1"/>
    <col min="11010" max="11010" width="26.85546875" style="1" bestFit="1" customWidth="1"/>
    <col min="11011" max="11011" width="7" style="1" bestFit="1" customWidth="1"/>
    <col min="11012" max="11012" width="7.5703125" style="1" bestFit="1" customWidth="1"/>
    <col min="11013" max="11013" width="17.28515625" style="1" bestFit="1" customWidth="1"/>
    <col min="11014" max="11014" width="28.140625" style="1" bestFit="1" customWidth="1"/>
    <col min="11015" max="11015" width="4.7109375" style="1" bestFit="1" customWidth="1"/>
    <col min="11016" max="11016" width="7.5703125" style="1" bestFit="1" customWidth="1"/>
    <col min="11017" max="11017" width="2.140625" style="1" bestFit="1" customWidth="1"/>
    <col min="11018" max="11018" width="4.85546875" style="1" bestFit="1" customWidth="1"/>
    <col min="11019" max="11019" width="6.7109375" style="1" bestFit="1" customWidth="1"/>
    <col min="11020" max="11020" width="10.5703125" style="1" bestFit="1" customWidth="1"/>
    <col min="11021" max="11021" width="15.28515625" style="1" bestFit="1" customWidth="1"/>
    <col min="11022" max="11264" width="9.140625" style="1"/>
    <col min="11265" max="11265" width="30.28515625" style="1" bestFit="1" customWidth="1"/>
    <col min="11266" max="11266" width="26.85546875" style="1" bestFit="1" customWidth="1"/>
    <col min="11267" max="11267" width="7" style="1" bestFit="1" customWidth="1"/>
    <col min="11268" max="11268" width="7.5703125" style="1" bestFit="1" customWidth="1"/>
    <col min="11269" max="11269" width="17.28515625" style="1" bestFit="1" customWidth="1"/>
    <col min="11270" max="11270" width="28.140625" style="1" bestFit="1" customWidth="1"/>
    <col min="11271" max="11271" width="4.7109375" style="1" bestFit="1" customWidth="1"/>
    <col min="11272" max="11272" width="7.5703125" style="1" bestFit="1" customWidth="1"/>
    <col min="11273" max="11273" width="2.140625" style="1" bestFit="1" customWidth="1"/>
    <col min="11274" max="11274" width="4.85546875" style="1" bestFit="1" customWidth="1"/>
    <col min="11275" max="11275" width="6.7109375" style="1" bestFit="1" customWidth="1"/>
    <col min="11276" max="11276" width="10.5703125" style="1" bestFit="1" customWidth="1"/>
    <col min="11277" max="11277" width="15.28515625" style="1" bestFit="1" customWidth="1"/>
    <col min="11278" max="11520" width="9.140625" style="1"/>
    <col min="11521" max="11521" width="30.28515625" style="1" bestFit="1" customWidth="1"/>
    <col min="11522" max="11522" width="26.85546875" style="1" bestFit="1" customWidth="1"/>
    <col min="11523" max="11523" width="7" style="1" bestFit="1" customWidth="1"/>
    <col min="11524" max="11524" width="7.5703125" style="1" bestFit="1" customWidth="1"/>
    <col min="11525" max="11525" width="17.28515625" style="1" bestFit="1" customWidth="1"/>
    <col min="11526" max="11526" width="28.140625" style="1" bestFit="1" customWidth="1"/>
    <col min="11527" max="11527" width="4.7109375" style="1" bestFit="1" customWidth="1"/>
    <col min="11528" max="11528" width="7.5703125" style="1" bestFit="1" customWidth="1"/>
    <col min="11529" max="11529" width="2.140625" style="1" bestFit="1" customWidth="1"/>
    <col min="11530" max="11530" width="4.85546875" style="1" bestFit="1" customWidth="1"/>
    <col min="11531" max="11531" width="6.7109375" style="1" bestFit="1" customWidth="1"/>
    <col min="11532" max="11532" width="10.5703125" style="1" bestFit="1" customWidth="1"/>
    <col min="11533" max="11533" width="15.28515625" style="1" bestFit="1" customWidth="1"/>
    <col min="11534" max="11776" width="9.140625" style="1"/>
    <col min="11777" max="11777" width="30.28515625" style="1" bestFit="1" customWidth="1"/>
    <col min="11778" max="11778" width="26.85546875" style="1" bestFit="1" customWidth="1"/>
    <col min="11779" max="11779" width="7" style="1" bestFit="1" customWidth="1"/>
    <col min="11780" max="11780" width="7.5703125" style="1" bestFit="1" customWidth="1"/>
    <col min="11781" max="11781" width="17.28515625" style="1" bestFit="1" customWidth="1"/>
    <col min="11782" max="11782" width="28.140625" style="1" bestFit="1" customWidth="1"/>
    <col min="11783" max="11783" width="4.7109375" style="1" bestFit="1" customWidth="1"/>
    <col min="11784" max="11784" width="7.5703125" style="1" bestFit="1" customWidth="1"/>
    <col min="11785" max="11785" width="2.140625" style="1" bestFit="1" customWidth="1"/>
    <col min="11786" max="11786" width="4.85546875" style="1" bestFit="1" customWidth="1"/>
    <col min="11787" max="11787" width="6.7109375" style="1" bestFit="1" customWidth="1"/>
    <col min="11788" max="11788" width="10.5703125" style="1" bestFit="1" customWidth="1"/>
    <col min="11789" max="11789" width="15.28515625" style="1" bestFit="1" customWidth="1"/>
    <col min="11790" max="12032" width="9.140625" style="1"/>
    <col min="12033" max="12033" width="30.28515625" style="1" bestFit="1" customWidth="1"/>
    <col min="12034" max="12034" width="26.85546875" style="1" bestFit="1" customWidth="1"/>
    <col min="12035" max="12035" width="7" style="1" bestFit="1" customWidth="1"/>
    <col min="12036" max="12036" width="7.5703125" style="1" bestFit="1" customWidth="1"/>
    <col min="12037" max="12037" width="17.28515625" style="1" bestFit="1" customWidth="1"/>
    <col min="12038" max="12038" width="28.140625" style="1" bestFit="1" customWidth="1"/>
    <col min="12039" max="12039" width="4.7109375" style="1" bestFit="1" customWidth="1"/>
    <col min="12040" max="12040" width="7.5703125" style="1" bestFit="1" customWidth="1"/>
    <col min="12041" max="12041" width="2.140625" style="1" bestFit="1" customWidth="1"/>
    <col min="12042" max="12042" width="4.85546875" style="1" bestFit="1" customWidth="1"/>
    <col min="12043" max="12043" width="6.7109375" style="1" bestFit="1" customWidth="1"/>
    <col min="12044" max="12044" width="10.5703125" style="1" bestFit="1" customWidth="1"/>
    <col min="12045" max="12045" width="15.28515625" style="1" bestFit="1" customWidth="1"/>
    <col min="12046" max="12288" width="9.140625" style="1"/>
    <col min="12289" max="12289" width="30.28515625" style="1" bestFit="1" customWidth="1"/>
    <col min="12290" max="12290" width="26.85546875" style="1" bestFit="1" customWidth="1"/>
    <col min="12291" max="12291" width="7" style="1" bestFit="1" customWidth="1"/>
    <col min="12292" max="12292" width="7.5703125" style="1" bestFit="1" customWidth="1"/>
    <col min="12293" max="12293" width="17.28515625" style="1" bestFit="1" customWidth="1"/>
    <col min="12294" max="12294" width="28.140625" style="1" bestFit="1" customWidth="1"/>
    <col min="12295" max="12295" width="4.7109375" style="1" bestFit="1" customWidth="1"/>
    <col min="12296" max="12296" width="7.5703125" style="1" bestFit="1" customWidth="1"/>
    <col min="12297" max="12297" width="2.140625" style="1" bestFit="1" customWidth="1"/>
    <col min="12298" max="12298" width="4.85546875" style="1" bestFit="1" customWidth="1"/>
    <col min="12299" max="12299" width="6.7109375" style="1" bestFit="1" customWidth="1"/>
    <col min="12300" max="12300" width="10.5703125" style="1" bestFit="1" customWidth="1"/>
    <col min="12301" max="12301" width="15.28515625" style="1" bestFit="1" customWidth="1"/>
    <col min="12302" max="12544" width="9.140625" style="1"/>
    <col min="12545" max="12545" width="30.28515625" style="1" bestFit="1" customWidth="1"/>
    <col min="12546" max="12546" width="26.85546875" style="1" bestFit="1" customWidth="1"/>
    <col min="12547" max="12547" width="7" style="1" bestFit="1" customWidth="1"/>
    <col min="12548" max="12548" width="7.5703125" style="1" bestFit="1" customWidth="1"/>
    <col min="12549" max="12549" width="17.28515625" style="1" bestFit="1" customWidth="1"/>
    <col min="12550" max="12550" width="28.140625" style="1" bestFit="1" customWidth="1"/>
    <col min="12551" max="12551" width="4.7109375" style="1" bestFit="1" customWidth="1"/>
    <col min="12552" max="12552" width="7.5703125" style="1" bestFit="1" customWidth="1"/>
    <col min="12553" max="12553" width="2.140625" style="1" bestFit="1" customWidth="1"/>
    <col min="12554" max="12554" width="4.85546875" style="1" bestFit="1" customWidth="1"/>
    <col min="12555" max="12555" width="6.7109375" style="1" bestFit="1" customWidth="1"/>
    <col min="12556" max="12556" width="10.5703125" style="1" bestFit="1" customWidth="1"/>
    <col min="12557" max="12557" width="15.28515625" style="1" bestFit="1" customWidth="1"/>
    <col min="12558" max="12800" width="9.140625" style="1"/>
    <col min="12801" max="12801" width="30.28515625" style="1" bestFit="1" customWidth="1"/>
    <col min="12802" max="12802" width="26.85546875" style="1" bestFit="1" customWidth="1"/>
    <col min="12803" max="12803" width="7" style="1" bestFit="1" customWidth="1"/>
    <col min="12804" max="12804" width="7.5703125" style="1" bestFit="1" customWidth="1"/>
    <col min="12805" max="12805" width="17.28515625" style="1" bestFit="1" customWidth="1"/>
    <col min="12806" max="12806" width="28.140625" style="1" bestFit="1" customWidth="1"/>
    <col min="12807" max="12807" width="4.7109375" style="1" bestFit="1" customWidth="1"/>
    <col min="12808" max="12808" width="7.5703125" style="1" bestFit="1" customWidth="1"/>
    <col min="12809" max="12809" width="2.140625" style="1" bestFit="1" customWidth="1"/>
    <col min="12810" max="12810" width="4.85546875" style="1" bestFit="1" customWidth="1"/>
    <col min="12811" max="12811" width="6.7109375" style="1" bestFit="1" customWidth="1"/>
    <col min="12812" max="12812" width="10.5703125" style="1" bestFit="1" customWidth="1"/>
    <col min="12813" max="12813" width="15.28515625" style="1" bestFit="1" customWidth="1"/>
    <col min="12814" max="13056" width="9.140625" style="1"/>
    <col min="13057" max="13057" width="30.28515625" style="1" bestFit="1" customWidth="1"/>
    <col min="13058" max="13058" width="26.85546875" style="1" bestFit="1" customWidth="1"/>
    <col min="13059" max="13059" width="7" style="1" bestFit="1" customWidth="1"/>
    <col min="13060" max="13060" width="7.5703125" style="1" bestFit="1" customWidth="1"/>
    <col min="13061" max="13061" width="17.28515625" style="1" bestFit="1" customWidth="1"/>
    <col min="13062" max="13062" width="28.140625" style="1" bestFit="1" customWidth="1"/>
    <col min="13063" max="13063" width="4.7109375" style="1" bestFit="1" customWidth="1"/>
    <col min="13064" max="13064" width="7.5703125" style="1" bestFit="1" customWidth="1"/>
    <col min="13065" max="13065" width="2.140625" style="1" bestFit="1" customWidth="1"/>
    <col min="13066" max="13066" width="4.85546875" style="1" bestFit="1" customWidth="1"/>
    <col min="13067" max="13067" width="6.7109375" style="1" bestFit="1" customWidth="1"/>
    <col min="13068" max="13068" width="10.5703125" style="1" bestFit="1" customWidth="1"/>
    <col min="13069" max="13069" width="15.28515625" style="1" bestFit="1" customWidth="1"/>
    <col min="13070" max="13312" width="9.140625" style="1"/>
    <col min="13313" max="13313" width="30.28515625" style="1" bestFit="1" customWidth="1"/>
    <col min="13314" max="13314" width="26.85546875" style="1" bestFit="1" customWidth="1"/>
    <col min="13315" max="13315" width="7" style="1" bestFit="1" customWidth="1"/>
    <col min="13316" max="13316" width="7.5703125" style="1" bestFit="1" customWidth="1"/>
    <col min="13317" max="13317" width="17.28515625" style="1" bestFit="1" customWidth="1"/>
    <col min="13318" max="13318" width="28.140625" style="1" bestFit="1" customWidth="1"/>
    <col min="13319" max="13319" width="4.7109375" style="1" bestFit="1" customWidth="1"/>
    <col min="13320" max="13320" width="7.5703125" style="1" bestFit="1" customWidth="1"/>
    <col min="13321" max="13321" width="2.140625" style="1" bestFit="1" customWidth="1"/>
    <col min="13322" max="13322" width="4.85546875" style="1" bestFit="1" customWidth="1"/>
    <col min="13323" max="13323" width="6.7109375" style="1" bestFit="1" customWidth="1"/>
    <col min="13324" max="13324" width="10.5703125" style="1" bestFit="1" customWidth="1"/>
    <col min="13325" max="13325" width="15.28515625" style="1" bestFit="1" customWidth="1"/>
    <col min="13326" max="13568" width="9.140625" style="1"/>
    <col min="13569" max="13569" width="30.28515625" style="1" bestFit="1" customWidth="1"/>
    <col min="13570" max="13570" width="26.85546875" style="1" bestFit="1" customWidth="1"/>
    <col min="13571" max="13571" width="7" style="1" bestFit="1" customWidth="1"/>
    <col min="13572" max="13572" width="7.5703125" style="1" bestFit="1" customWidth="1"/>
    <col min="13573" max="13573" width="17.28515625" style="1" bestFit="1" customWidth="1"/>
    <col min="13574" max="13574" width="28.140625" style="1" bestFit="1" customWidth="1"/>
    <col min="13575" max="13575" width="4.7109375" style="1" bestFit="1" customWidth="1"/>
    <col min="13576" max="13576" width="7.5703125" style="1" bestFit="1" customWidth="1"/>
    <col min="13577" max="13577" width="2.140625" style="1" bestFit="1" customWidth="1"/>
    <col min="13578" max="13578" width="4.85546875" style="1" bestFit="1" customWidth="1"/>
    <col min="13579" max="13579" width="6.7109375" style="1" bestFit="1" customWidth="1"/>
    <col min="13580" max="13580" width="10.5703125" style="1" bestFit="1" customWidth="1"/>
    <col min="13581" max="13581" width="15.28515625" style="1" bestFit="1" customWidth="1"/>
    <col min="13582" max="13824" width="9.140625" style="1"/>
    <col min="13825" max="13825" width="30.28515625" style="1" bestFit="1" customWidth="1"/>
    <col min="13826" max="13826" width="26.85546875" style="1" bestFit="1" customWidth="1"/>
    <col min="13827" max="13827" width="7" style="1" bestFit="1" customWidth="1"/>
    <col min="13828" max="13828" width="7.5703125" style="1" bestFit="1" customWidth="1"/>
    <col min="13829" max="13829" width="17.28515625" style="1" bestFit="1" customWidth="1"/>
    <col min="13830" max="13830" width="28.140625" style="1" bestFit="1" customWidth="1"/>
    <col min="13831" max="13831" width="4.7109375" style="1" bestFit="1" customWidth="1"/>
    <col min="13832" max="13832" width="7.5703125" style="1" bestFit="1" customWidth="1"/>
    <col min="13833" max="13833" width="2.140625" style="1" bestFit="1" customWidth="1"/>
    <col min="13834" max="13834" width="4.85546875" style="1" bestFit="1" customWidth="1"/>
    <col min="13835" max="13835" width="6.7109375" style="1" bestFit="1" customWidth="1"/>
    <col min="13836" max="13836" width="10.5703125" style="1" bestFit="1" customWidth="1"/>
    <col min="13837" max="13837" width="15.28515625" style="1" bestFit="1" customWidth="1"/>
    <col min="13838" max="14080" width="9.140625" style="1"/>
    <col min="14081" max="14081" width="30.28515625" style="1" bestFit="1" customWidth="1"/>
    <col min="14082" max="14082" width="26.85546875" style="1" bestFit="1" customWidth="1"/>
    <col min="14083" max="14083" width="7" style="1" bestFit="1" customWidth="1"/>
    <col min="14084" max="14084" width="7.5703125" style="1" bestFit="1" customWidth="1"/>
    <col min="14085" max="14085" width="17.28515625" style="1" bestFit="1" customWidth="1"/>
    <col min="14086" max="14086" width="28.140625" style="1" bestFit="1" customWidth="1"/>
    <col min="14087" max="14087" width="4.7109375" style="1" bestFit="1" customWidth="1"/>
    <col min="14088" max="14088" width="7.5703125" style="1" bestFit="1" customWidth="1"/>
    <col min="14089" max="14089" width="2.140625" style="1" bestFit="1" customWidth="1"/>
    <col min="14090" max="14090" width="4.85546875" style="1" bestFit="1" customWidth="1"/>
    <col min="14091" max="14091" width="6.7109375" style="1" bestFit="1" customWidth="1"/>
    <col min="14092" max="14092" width="10.5703125" style="1" bestFit="1" customWidth="1"/>
    <col min="14093" max="14093" width="15.28515625" style="1" bestFit="1" customWidth="1"/>
    <col min="14094" max="14336" width="9.140625" style="1"/>
    <col min="14337" max="14337" width="30.28515625" style="1" bestFit="1" customWidth="1"/>
    <col min="14338" max="14338" width="26.85546875" style="1" bestFit="1" customWidth="1"/>
    <col min="14339" max="14339" width="7" style="1" bestFit="1" customWidth="1"/>
    <col min="14340" max="14340" width="7.5703125" style="1" bestFit="1" customWidth="1"/>
    <col min="14341" max="14341" width="17.28515625" style="1" bestFit="1" customWidth="1"/>
    <col min="14342" max="14342" width="28.140625" style="1" bestFit="1" customWidth="1"/>
    <col min="14343" max="14343" width="4.7109375" style="1" bestFit="1" customWidth="1"/>
    <col min="14344" max="14344" width="7.5703125" style="1" bestFit="1" customWidth="1"/>
    <col min="14345" max="14345" width="2.140625" style="1" bestFit="1" customWidth="1"/>
    <col min="14346" max="14346" width="4.85546875" style="1" bestFit="1" customWidth="1"/>
    <col min="14347" max="14347" width="6.7109375" style="1" bestFit="1" customWidth="1"/>
    <col min="14348" max="14348" width="10.5703125" style="1" bestFit="1" customWidth="1"/>
    <col min="14349" max="14349" width="15.28515625" style="1" bestFit="1" customWidth="1"/>
    <col min="14350" max="14592" width="9.140625" style="1"/>
    <col min="14593" max="14593" width="30.28515625" style="1" bestFit="1" customWidth="1"/>
    <col min="14594" max="14594" width="26.85546875" style="1" bestFit="1" customWidth="1"/>
    <col min="14595" max="14595" width="7" style="1" bestFit="1" customWidth="1"/>
    <col min="14596" max="14596" width="7.5703125" style="1" bestFit="1" customWidth="1"/>
    <col min="14597" max="14597" width="17.28515625" style="1" bestFit="1" customWidth="1"/>
    <col min="14598" max="14598" width="28.140625" style="1" bestFit="1" customWidth="1"/>
    <col min="14599" max="14599" width="4.7109375" style="1" bestFit="1" customWidth="1"/>
    <col min="14600" max="14600" width="7.5703125" style="1" bestFit="1" customWidth="1"/>
    <col min="14601" max="14601" width="2.140625" style="1" bestFit="1" customWidth="1"/>
    <col min="14602" max="14602" width="4.85546875" style="1" bestFit="1" customWidth="1"/>
    <col min="14603" max="14603" width="6.7109375" style="1" bestFit="1" customWidth="1"/>
    <col min="14604" max="14604" width="10.5703125" style="1" bestFit="1" customWidth="1"/>
    <col min="14605" max="14605" width="15.28515625" style="1" bestFit="1" customWidth="1"/>
    <col min="14606" max="14848" width="9.140625" style="1"/>
    <col min="14849" max="14849" width="30.28515625" style="1" bestFit="1" customWidth="1"/>
    <col min="14850" max="14850" width="26.85546875" style="1" bestFit="1" customWidth="1"/>
    <col min="14851" max="14851" width="7" style="1" bestFit="1" customWidth="1"/>
    <col min="14852" max="14852" width="7.5703125" style="1" bestFit="1" customWidth="1"/>
    <col min="14853" max="14853" width="17.28515625" style="1" bestFit="1" customWidth="1"/>
    <col min="14854" max="14854" width="28.140625" style="1" bestFit="1" customWidth="1"/>
    <col min="14855" max="14855" width="4.7109375" style="1" bestFit="1" customWidth="1"/>
    <col min="14856" max="14856" width="7.5703125" style="1" bestFit="1" customWidth="1"/>
    <col min="14857" max="14857" width="2.140625" style="1" bestFit="1" customWidth="1"/>
    <col min="14858" max="14858" width="4.85546875" style="1" bestFit="1" customWidth="1"/>
    <col min="14859" max="14859" width="6.7109375" style="1" bestFit="1" customWidth="1"/>
    <col min="14860" max="14860" width="10.5703125" style="1" bestFit="1" customWidth="1"/>
    <col min="14861" max="14861" width="15.28515625" style="1" bestFit="1" customWidth="1"/>
    <col min="14862" max="15104" width="9.140625" style="1"/>
    <col min="15105" max="15105" width="30.28515625" style="1" bestFit="1" customWidth="1"/>
    <col min="15106" max="15106" width="26.85546875" style="1" bestFit="1" customWidth="1"/>
    <col min="15107" max="15107" width="7" style="1" bestFit="1" customWidth="1"/>
    <col min="15108" max="15108" width="7.5703125" style="1" bestFit="1" customWidth="1"/>
    <col min="15109" max="15109" width="17.28515625" style="1" bestFit="1" customWidth="1"/>
    <col min="15110" max="15110" width="28.140625" style="1" bestFit="1" customWidth="1"/>
    <col min="15111" max="15111" width="4.7109375" style="1" bestFit="1" customWidth="1"/>
    <col min="15112" max="15112" width="7.5703125" style="1" bestFit="1" customWidth="1"/>
    <col min="15113" max="15113" width="2.140625" style="1" bestFit="1" customWidth="1"/>
    <col min="15114" max="15114" width="4.85546875" style="1" bestFit="1" customWidth="1"/>
    <col min="15115" max="15115" width="6.7109375" style="1" bestFit="1" customWidth="1"/>
    <col min="15116" max="15116" width="10.5703125" style="1" bestFit="1" customWidth="1"/>
    <col min="15117" max="15117" width="15.28515625" style="1" bestFit="1" customWidth="1"/>
    <col min="15118" max="15360" width="9.140625" style="1"/>
    <col min="15361" max="15361" width="30.28515625" style="1" bestFit="1" customWidth="1"/>
    <col min="15362" max="15362" width="26.85546875" style="1" bestFit="1" customWidth="1"/>
    <col min="15363" max="15363" width="7" style="1" bestFit="1" customWidth="1"/>
    <col min="15364" max="15364" width="7.5703125" style="1" bestFit="1" customWidth="1"/>
    <col min="15365" max="15365" width="17.28515625" style="1" bestFit="1" customWidth="1"/>
    <col min="15366" max="15366" width="28.140625" style="1" bestFit="1" customWidth="1"/>
    <col min="15367" max="15367" width="4.7109375" style="1" bestFit="1" customWidth="1"/>
    <col min="15368" max="15368" width="7.5703125" style="1" bestFit="1" customWidth="1"/>
    <col min="15369" max="15369" width="2.140625" style="1" bestFit="1" customWidth="1"/>
    <col min="15370" max="15370" width="4.85546875" style="1" bestFit="1" customWidth="1"/>
    <col min="15371" max="15371" width="6.7109375" style="1" bestFit="1" customWidth="1"/>
    <col min="15372" max="15372" width="10.5703125" style="1" bestFit="1" customWidth="1"/>
    <col min="15373" max="15373" width="15.28515625" style="1" bestFit="1" customWidth="1"/>
    <col min="15374" max="15616" width="9.140625" style="1"/>
    <col min="15617" max="15617" width="30.28515625" style="1" bestFit="1" customWidth="1"/>
    <col min="15618" max="15618" width="26.85546875" style="1" bestFit="1" customWidth="1"/>
    <col min="15619" max="15619" width="7" style="1" bestFit="1" customWidth="1"/>
    <col min="15620" max="15620" width="7.5703125" style="1" bestFit="1" customWidth="1"/>
    <col min="15621" max="15621" width="17.28515625" style="1" bestFit="1" customWidth="1"/>
    <col min="15622" max="15622" width="28.140625" style="1" bestFit="1" customWidth="1"/>
    <col min="15623" max="15623" width="4.7109375" style="1" bestFit="1" customWidth="1"/>
    <col min="15624" max="15624" width="7.5703125" style="1" bestFit="1" customWidth="1"/>
    <col min="15625" max="15625" width="2.140625" style="1" bestFit="1" customWidth="1"/>
    <col min="15626" max="15626" width="4.85546875" style="1" bestFit="1" customWidth="1"/>
    <col min="15627" max="15627" width="6.7109375" style="1" bestFit="1" customWidth="1"/>
    <col min="15628" max="15628" width="10.5703125" style="1" bestFit="1" customWidth="1"/>
    <col min="15629" max="15629" width="15.28515625" style="1" bestFit="1" customWidth="1"/>
    <col min="15630" max="15872" width="9.140625" style="1"/>
    <col min="15873" max="15873" width="30.28515625" style="1" bestFit="1" customWidth="1"/>
    <col min="15874" max="15874" width="26.85546875" style="1" bestFit="1" customWidth="1"/>
    <col min="15875" max="15875" width="7" style="1" bestFit="1" customWidth="1"/>
    <col min="15876" max="15876" width="7.5703125" style="1" bestFit="1" customWidth="1"/>
    <col min="15877" max="15877" width="17.28515625" style="1" bestFit="1" customWidth="1"/>
    <col min="15878" max="15878" width="28.140625" style="1" bestFit="1" customWidth="1"/>
    <col min="15879" max="15879" width="4.7109375" style="1" bestFit="1" customWidth="1"/>
    <col min="15880" max="15880" width="7.5703125" style="1" bestFit="1" customWidth="1"/>
    <col min="15881" max="15881" width="2.140625" style="1" bestFit="1" customWidth="1"/>
    <col min="15882" max="15882" width="4.85546875" style="1" bestFit="1" customWidth="1"/>
    <col min="15883" max="15883" width="6.7109375" style="1" bestFit="1" customWidth="1"/>
    <col min="15884" max="15884" width="10.5703125" style="1" bestFit="1" customWidth="1"/>
    <col min="15885" max="15885" width="15.28515625" style="1" bestFit="1" customWidth="1"/>
    <col min="15886" max="16128" width="9.140625" style="1"/>
    <col min="16129" max="16129" width="30.28515625" style="1" bestFit="1" customWidth="1"/>
    <col min="16130" max="16130" width="26.85546875" style="1" bestFit="1" customWidth="1"/>
    <col min="16131" max="16131" width="7" style="1" bestFit="1" customWidth="1"/>
    <col min="16132" max="16132" width="7.5703125" style="1" bestFit="1" customWidth="1"/>
    <col min="16133" max="16133" width="17.28515625" style="1" bestFit="1" customWidth="1"/>
    <col min="16134" max="16134" width="28.140625" style="1" bestFit="1" customWidth="1"/>
    <col min="16135" max="16135" width="4.7109375" style="1" bestFit="1" customWidth="1"/>
    <col min="16136" max="16136" width="7.5703125" style="1" bestFit="1" customWidth="1"/>
    <col min="16137" max="16137" width="2.140625" style="1" bestFit="1" customWidth="1"/>
    <col min="16138" max="16138" width="4.85546875" style="1" bestFit="1" customWidth="1"/>
    <col min="16139" max="16139" width="6.7109375" style="1" bestFit="1" customWidth="1"/>
    <col min="16140" max="16140" width="10.5703125" style="1" bestFit="1" customWidth="1"/>
    <col min="16141" max="16141" width="15.28515625" style="1" bestFit="1" customWidth="1"/>
    <col min="16142" max="16384" width="9.140625" style="1"/>
  </cols>
  <sheetData>
    <row r="1" spans="1:13" ht="15" customHeight="1">
      <c r="A1" s="53" t="s">
        <v>985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ht="13.5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7" customFormat="1" ht="12.75" customHeight="1">
      <c r="A3" s="59" t="s">
        <v>0</v>
      </c>
      <c r="B3" s="61" t="s">
        <v>863</v>
      </c>
      <c r="C3" s="61" t="s">
        <v>11</v>
      </c>
      <c r="D3" s="63" t="s">
        <v>1</v>
      </c>
      <c r="E3" s="63" t="s">
        <v>2</v>
      </c>
      <c r="F3" s="64" t="s">
        <v>3</v>
      </c>
      <c r="G3" s="63" t="s">
        <v>5</v>
      </c>
      <c r="H3" s="63"/>
      <c r="I3" s="63"/>
      <c r="J3" s="63"/>
      <c r="K3" s="63" t="s">
        <v>7</v>
      </c>
      <c r="L3" s="63" t="s">
        <v>9</v>
      </c>
      <c r="M3" s="66" t="s">
        <v>8</v>
      </c>
    </row>
    <row r="4" spans="1:13" s="7" customFormat="1" ht="23.25" customHeight="1" thickBot="1">
      <c r="A4" s="60"/>
      <c r="B4" s="62"/>
      <c r="C4" s="62"/>
      <c r="D4" s="62"/>
      <c r="E4" s="62"/>
      <c r="F4" s="65"/>
      <c r="G4" s="2" t="s">
        <v>864</v>
      </c>
      <c r="H4" s="2" t="s">
        <v>865</v>
      </c>
      <c r="I4" s="2">
        <v>3</v>
      </c>
      <c r="J4" s="4" t="s">
        <v>10</v>
      </c>
      <c r="K4" s="62"/>
      <c r="L4" s="62"/>
      <c r="M4" s="69"/>
    </row>
    <row r="5" spans="1:13" s="5" customFormat="1" ht="15">
      <c r="A5" s="71" t="s">
        <v>156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8"/>
    </row>
    <row r="6" spans="1:13" s="5" customFormat="1">
      <c r="A6" s="16" t="s">
        <v>986</v>
      </c>
      <c r="B6" s="13" t="s">
        <v>987</v>
      </c>
      <c r="C6" s="13" t="s">
        <v>988</v>
      </c>
      <c r="D6" s="13" t="str">
        <f>"1,1441"</f>
        <v>1,1441</v>
      </c>
      <c r="E6" s="17" t="s">
        <v>989</v>
      </c>
      <c r="F6" s="17" t="s">
        <v>477</v>
      </c>
      <c r="G6" s="13" t="s">
        <v>990</v>
      </c>
      <c r="H6" s="13" t="s">
        <v>900</v>
      </c>
      <c r="I6" s="18"/>
      <c r="J6" s="18"/>
      <c r="K6" s="16">
        <v>950</v>
      </c>
      <c r="L6" s="13" t="str">
        <f>"1086,8950"</f>
        <v>1086,8950</v>
      </c>
      <c r="M6" s="17" t="s">
        <v>478</v>
      </c>
    </row>
    <row r="7" spans="1:13" s="5" customFormat="1">
      <c r="A7" s="22" t="s">
        <v>991</v>
      </c>
      <c r="B7" s="15" t="s">
        <v>992</v>
      </c>
      <c r="C7" s="15" t="s">
        <v>993</v>
      </c>
      <c r="D7" s="15" t="str">
        <f>"1,2127"</f>
        <v>1,2127</v>
      </c>
      <c r="E7" s="23" t="s">
        <v>88</v>
      </c>
      <c r="F7" s="23" t="s">
        <v>148</v>
      </c>
      <c r="G7" s="15" t="s">
        <v>990</v>
      </c>
      <c r="H7" s="15" t="s">
        <v>129</v>
      </c>
      <c r="I7" s="24"/>
      <c r="J7" s="24"/>
      <c r="K7" s="22">
        <v>15750</v>
      </c>
      <c r="L7" s="15" t="str">
        <f>"19100,3800"</f>
        <v>19100,3800</v>
      </c>
      <c r="M7" s="23" t="s">
        <v>994</v>
      </c>
    </row>
    <row r="9" spans="1:13" ht="15">
      <c r="E9" s="25" t="s">
        <v>93</v>
      </c>
    </row>
    <row r="10" spans="1:13" ht="15">
      <c r="E10" s="25" t="s">
        <v>94</v>
      </c>
    </row>
    <row r="11" spans="1:13" ht="15">
      <c r="E11" s="25" t="s">
        <v>95</v>
      </c>
    </row>
    <row r="12" spans="1:13">
      <c r="E12" s="8" t="s">
        <v>96</v>
      </c>
    </row>
    <row r="13" spans="1:13">
      <c r="E13" s="8" t="s">
        <v>97</v>
      </c>
    </row>
    <row r="14" spans="1:13">
      <c r="E14" s="8" t="s">
        <v>98</v>
      </c>
    </row>
    <row r="17" spans="1:5" ht="18">
      <c r="A17" s="26" t="s">
        <v>99</v>
      </c>
      <c r="B17" s="27"/>
    </row>
    <row r="18" spans="1:5" ht="15">
      <c r="A18" s="28" t="s">
        <v>100</v>
      </c>
      <c r="B18" s="51"/>
    </row>
    <row r="19" spans="1:5" ht="14.25">
      <c r="A19" s="31" t="s">
        <v>276</v>
      </c>
      <c r="B19" s="32"/>
    </row>
    <row r="20" spans="1:5" ht="15">
      <c r="A20" s="33" t="s">
        <v>0</v>
      </c>
      <c r="B20" s="33" t="s">
        <v>102</v>
      </c>
      <c r="C20" s="33" t="s">
        <v>103</v>
      </c>
      <c r="D20" s="33" t="s">
        <v>7</v>
      </c>
      <c r="E20" s="33" t="s">
        <v>104</v>
      </c>
    </row>
    <row r="21" spans="1:5">
      <c r="A21" s="30" t="s">
        <v>986</v>
      </c>
      <c r="B21" s="5" t="s">
        <v>615</v>
      </c>
      <c r="C21" s="5" t="s">
        <v>274</v>
      </c>
      <c r="D21" s="5" t="s">
        <v>995</v>
      </c>
      <c r="E21" s="6" t="s">
        <v>996</v>
      </c>
    </row>
    <row r="23" spans="1:5" ht="14.25">
      <c r="A23" s="31" t="s">
        <v>101</v>
      </c>
      <c r="B23" s="32"/>
    </row>
    <row r="24" spans="1:5" ht="15">
      <c r="A24" s="33" t="s">
        <v>0</v>
      </c>
      <c r="B24" s="33" t="s">
        <v>102</v>
      </c>
      <c r="C24" s="33" t="s">
        <v>103</v>
      </c>
      <c r="D24" s="33" t="s">
        <v>7</v>
      </c>
      <c r="E24" s="33" t="s">
        <v>104</v>
      </c>
    </row>
    <row r="25" spans="1:5">
      <c r="A25" s="30" t="s">
        <v>991</v>
      </c>
      <c r="B25" s="5" t="s">
        <v>105</v>
      </c>
      <c r="C25" s="5" t="s">
        <v>274</v>
      </c>
      <c r="D25" s="5" t="s">
        <v>997</v>
      </c>
      <c r="E25" s="6" t="s">
        <v>998</v>
      </c>
    </row>
  </sheetData>
  <mergeCells count="12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19" right="0.47" top="0.45" bottom="0.49" header="0.5" footer="0.5"/>
  <pageSetup scale="69" fitToHeight="10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6"/>
  <sheetViews>
    <sheetView workbookViewId="0">
      <selection activeCell="A12" sqref="A12:L12"/>
    </sheetView>
  </sheetViews>
  <sheetFormatPr defaultRowHeight="12.75"/>
  <cols>
    <col min="1" max="1" width="27" style="34" bestFit="1" customWidth="1"/>
    <col min="2" max="2" width="26.85546875" style="34" bestFit="1" customWidth="1"/>
    <col min="3" max="3" width="7.7109375" style="34" bestFit="1" customWidth="1"/>
    <col min="4" max="4" width="6.85546875" style="34" bestFit="1" customWidth="1"/>
    <col min="5" max="5" width="17.28515625" style="34" bestFit="1" customWidth="1"/>
    <col min="6" max="6" width="37.140625" style="34" bestFit="1" customWidth="1"/>
    <col min="7" max="7" width="5.5703125" style="34" bestFit="1" customWidth="1"/>
    <col min="8" max="8" width="7.5703125" style="34" bestFit="1" customWidth="1"/>
    <col min="9" max="9" width="2.140625" style="34" bestFit="1" customWidth="1"/>
    <col min="10" max="10" width="4.85546875" style="34" bestFit="1" customWidth="1"/>
    <col min="11" max="11" width="6.7109375" style="34" bestFit="1" customWidth="1"/>
    <col min="12" max="12" width="9.5703125" style="34" bestFit="1" customWidth="1"/>
    <col min="13" max="13" width="7.42578125" style="34" bestFit="1" customWidth="1"/>
    <col min="257" max="257" width="27" bestFit="1" customWidth="1"/>
    <col min="258" max="258" width="26.85546875" bestFit="1" customWidth="1"/>
    <col min="259" max="259" width="7.7109375" bestFit="1" customWidth="1"/>
    <col min="260" max="260" width="6.85546875" bestFit="1" customWidth="1"/>
    <col min="261" max="261" width="17.28515625" bestFit="1" customWidth="1"/>
    <col min="262" max="262" width="37.140625" bestFit="1" customWidth="1"/>
    <col min="263" max="263" width="5.5703125" bestFit="1" customWidth="1"/>
    <col min="264" max="264" width="7.5703125" bestFit="1" customWidth="1"/>
    <col min="265" max="265" width="2.140625" bestFit="1" customWidth="1"/>
    <col min="266" max="266" width="4.85546875" bestFit="1" customWidth="1"/>
    <col min="267" max="267" width="6.7109375" bestFit="1" customWidth="1"/>
    <col min="268" max="268" width="9.5703125" bestFit="1" customWidth="1"/>
    <col min="269" max="269" width="7.42578125" bestFit="1" customWidth="1"/>
    <col min="513" max="513" width="27" bestFit="1" customWidth="1"/>
    <col min="514" max="514" width="26.85546875" bestFit="1" customWidth="1"/>
    <col min="515" max="515" width="7.7109375" bestFit="1" customWidth="1"/>
    <col min="516" max="516" width="6.85546875" bestFit="1" customWidth="1"/>
    <col min="517" max="517" width="17.28515625" bestFit="1" customWidth="1"/>
    <col min="518" max="518" width="37.140625" bestFit="1" customWidth="1"/>
    <col min="519" max="519" width="5.5703125" bestFit="1" customWidth="1"/>
    <col min="520" max="520" width="7.5703125" bestFit="1" customWidth="1"/>
    <col min="521" max="521" width="2.140625" bestFit="1" customWidth="1"/>
    <col min="522" max="522" width="4.85546875" bestFit="1" customWidth="1"/>
    <col min="523" max="523" width="6.7109375" bestFit="1" customWidth="1"/>
    <col min="524" max="524" width="9.5703125" bestFit="1" customWidth="1"/>
    <col min="525" max="525" width="7.42578125" bestFit="1" customWidth="1"/>
    <col min="769" max="769" width="27" bestFit="1" customWidth="1"/>
    <col min="770" max="770" width="26.85546875" bestFit="1" customWidth="1"/>
    <col min="771" max="771" width="7.7109375" bestFit="1" customWidth="1"/>
    <col min="772" max="772" width="6.85546875" bestFit="1" customWidth="1"/>
    <col min="773" max="773" width="17.28515625" bestFit="1" customWidth="1"/>
    <col min="774" max="774" width="37.140625" bestFit="1" customWidth="1"/>
    <col min="775" max="775" width="5.5703125" bestFit="1" customWidth="1"/>
    <col min="776" max="776" width="7.5703125" bestFit="1" customWidth="1"/>
    <col min="777" max="777" width="2.140625" bestFit="1" customWidth="1"/>
    <col min="778" max="778" width="4.85546875" bestFit="1" customWidth="1"/>
    <col min="779" max="779" width="6.7109375" bestFit="1" customWidth="1"/>
    <col min="780" max="780" width="9.5703125" bestFit="1" customWidth="1"/>
    <col min="781" max="781" width="7.42578125" bestFit="1" customWidth="1"/>
    <col min="1025" max="1025" width="27" bestFit="1" customWidth="1"/>
    <col min="1026" max="1026" width="26.85546875" bestFit="1" customWidth="1"/>
    <col min="1027" max="1027" width="7.7109375" bestFit="1" customWidth="1"/>
    <col min="1028" max="1028" width="6.85546875" bestFit="1" customWidth="1"/>
    <col min="1029" max="1029" width="17.28515625" bestFit="1" customWidth="1"/>
    <col min="1030" max="1030" width="37.140625" bestFit="1" customWidth="1"/>
    <col min="1031" max="1031" width="5.5703125" bestFit="1" customWidth="1"/>
    <col min="1032" max="1032" width="7.5703125" bestFit="1" customWidth="1"/>
    <col min="1033" max="1033" width="2.140625" bestFit="1" customWidth="1"/>
    <col min="1034" max="1034" width="4.85546875" bestFit="1" customWidth="1"/>
    <col min="1035" max="1035" width="6.7109375" bestFit="1" customWidth="1"/>
    <col min="1036" max="1036" width="9.5703125" bestFit="1" customWidth="1"/>
    <col min="1037" max="1037" width="7.42578125" bestFit="1" customWidth="1"/>
    <col min="1281" max="1281" width="27" bestFit="1" customWidth="1"/>
    <col min="1282" max="1282" width="26.85546875" bestFit="1" customWidth="1"/>
    <col min="1283" max="1283" width="7.7109375" bestFit="1" customWidth="1"/>
    <col min="1284" max="1284" width="6.85546875" bestFit="1" customWidth="1"/>
    <col min="1285" max="1285" width="17.28515625" bestFit="1" customWidth="1"/>
    <col min="1286" max="1286" width="37.140625" bestFit="1" customWidth="1"/>
    <col min="1287" max="1287" width="5.5703125" bestFit="1" customWidth="1"/>
    <col min="1288" max="1288" width="7.5703125" bestFit="1" customWidth="1"/>
    <col min="1289" max="1289" width="2.140625" bestFit="1" customWidth="1"/>
    <col min="1290" max="1290" width="4.85546875" bestFit="1" customWidth="1"/>
    <col min="1291" max="1291" width="6.7109375" bestFit="1" customWidth="1"/>
    <col min="1292" max="1292" width="9.5703125" bestFit="1" customWidth="1"/>
    <col min="1293" max="1293" width="7.42578125" bestFit="1" customWidth="1"/>
    <col min="1537" max="1537" width="27" bestFit="1" customWidth="1"/>
    <col min="1538" max="1538" width="26.85546875" bestFit="1" customWidth="1"/>
    <col min="1539" max="1539" width="7.7109375" bestFit="1" customWidth="1"/>
    <col min="1540" max="1540" width="6.85546875" bestFit="1" customWidth="1"/>
    <col min="1541" max="1541" width="17.28515625" bestFit="1" customWidth="1"/>
    <col min="1542" max="1542" width="37.140625" bestFit="1" customWidth="1"/>
    <col min="1543" max="1543" width="5.5703125" bestFit="1" customWidth="1"/>
    <col min="1544" max="1544" width="7.5703125" bestFit="1" customWidth="1"/>
    <col min="1545" max="1545" width="2.140625" bestFit="1" customWidth="1"/>
    <col min="1546" max="1546" width="4.85546875" bestFit="1" customWidth="1"/>
    <col min="1547" max="1547" width="6.7109375" bestFit="1" customWidth="1"/>
    <col min="1548" max="1548" width="9.5703125" bestFit="1" customWidth="1"/>
    <col min="1549" max="1549" width="7.42578125" bestFit="1" customWidth="1"/>
    <col min="1793" max="1793" width="27" bestFit="1" customWidth="1"/>
    <col min="1794" max="1794" width="26.85546875" bestFit="1" customWidth="1"/>
    <col min="1795" max="1795" width="7.7109375" bestFit="1" customWidth="1"/>
    <col min="1796" max="1796" width="6.85546875" bestFit="1" customWidth="1"/>
    <col min="1797" max="1797" width="17.28515625" bestFit="1" customWidth="1"/>
    <col min="1798" max="1798" width="37.140625" bestFit="1" customWidth="1"/>
    <col min="1799" max="1799" width="5.5703125" bestFit="1" customWidth="1"/>
    <col min="1800" max="1800" width="7.5703125" bestFit="1" customWidth="1"/>
    <col min="1801" max="1801" width="2.140625" bestFit="1" customWidth="1"/>
    <col min="1802" max="1802" width="4.85546875" bestFit="1" customWidth="1"/>
    <col min="1803" max="1803" width="6.7109375" bestFit="1" customWidth="1"/>
    <col min="1804" max="1804" width="9.5703125" bestFit="1" customWidth="1"/>
    <col min="1805" max="1805" width="7.42578125" bestFit="1" customWidth="1"/>
    <col min="2049" max="2049" width="27" bestFit="1" customWidth="1"/>
    <col min="2050" max="2050" width="26.85546875" bestFit="1" customWidth="1"/>
    <col min="2051" max="2051" width="7.7109375" bestFit="1" customWidth="1"/>
    <col min="2052" max="2052" width="6.85546875" bestFit="1" customWidth="1"/>
    <col min="2053" max="2053" width="17.28515625" bestFit="1" customWidth="1"/>
    <col min="2054" max="2054" width="37.140625" bestFit="1" customWidth="1"/>
    <col min="2055" max="2055" width="5.5703125" bestFit="1" customWidth="1"/>
    <col min="2056" max="2056" width="7.5703125" bestFit="1" customWidth="1"/>
    <col min="2057" max="2057" width="2.140625" bestFit="1" customWidth="1"/>
    <col min="2058" max="2058" width="4.85546875" bestFit="1" customWidth="1"/>
    <col min="2059" max="2059" width="6.7109375" bestFit="1" customWidth="1"/>
    <col min="2060" max="2060" width="9.5703125" bestFit="1" customWidth="1"/>
    <col min="2061" max="2061" width="7.42578125" bestFit="1" customWidth="1"/>
    <col min="2305" max="2305" width="27" bestFit="1" customWidth="1"/>
    <col min="2306" max="2306" width="26.85546875" bestFit="1" customWidth="1"/>
    <col min="2307" max="2307" width="7.7109375" bestFit="1" customWidth="1"/>
    <col min="2308" max="2308" width="6.85546875" bestFit="1" customWidth="1"/>
    <col min="2309" max="2309" width="17.28515625" bestFit="1" customWidth="1"/>
    <col min="2310" max="2310" width="37.140625" bestFit="1" customWidth="1"/>
    <col min="2311" max="2311" width="5.5703125" bestFit="1" customWidth="1"/>
    <col min="2312" max="2312" width="7.5703125" bestFit="1" customWidth="1"/>
    <col min="2313" max="2313" width="2.140625" bestFit="1" customWidth="1"/>
    <col min="2314" max="2314" width="4.85546875" bestFit="1" customWidth="1"/>
    <col min="2315" max="2315" width="6.7109375" bestFit="1" customWidth="1"/>
    <col min="2316" max="2316" width="9.5703125" bestFit="1" customWidth="1"/>
    <col min="2317" max="2317" width="7.42578125" bestFit="1" customWidth="1"/>
    <col min="2561" max="2561" width="27" bestFit="1" customWidth="1"/>
    <col min="2562" max="2562" width="26.85546875" bestFit="1" customWidth="1"/>
    <col min="2563" max="2563" width="7.7109375" bestFit="1" customWidth="1"/>
    <col min="2564" max="2564" width="6.85546875" bestFit="1" customWidth="1"/>
    <col min="2565" max="2565" width="17.28515625" bestFit="1" customWidth="1"/>
    <col min="2566" max="2566" width="37.140625" bestFit="1" customWidth="1"/>
    <col min="2567" max="2567" width="5.5703125" bestFit="1" customWidth="1"/>
    <col min="2568" max="2568" width="7.5703125" bestFit="1" customWidth="1"/>
    <col min="2569" max="2569" width="2.140625" bestFit="1" customWidth="1"/>
    <col min="2570" max="2570" width="4.85546875" bestFit="1" customWidth="1"/>
    <col min="2571" max="2571" width="6.7109375" bestFit="1" customWidth="1"/>
    <col min="2572" max="2572" width="9.5703125" bestFit="1" customWidth="1"/>
    <col min="2573" max="2573" width="7.42578125" bestFit="1" customWidth="1"/>
    <col min="2817" max="2817" width="27" bestFit="1" customWidth="1"/>
    <col min="2818" max="2818" width="26.85546875" bestFit="1" customWidth="1"/>
    <col min="2819" max="2819" width="7.7109375" bestFit="1" customWidth="1"/>
    <col min="2820" max="2820" width="6.85546875" bestFit="1" customWidth="1"/>
    <col min="2821" max="2821" width="17.28515625" bestFit="1" customWidth="1"/>
    <col min="2822" max="2822" width="37.140625" bestFit="1" customWidth="1"/>
    <col min="2823" max="2823" width="5.5703125" bestFit="1" customWidth="1"/>
    <col min="2824" max="2824" width="7.5703125" bestFit="1" customWidth="1"/>
    <col min="2825" max="2825" width="2.140625" bestFit="1" customWidth="1"/>
    <col min="2826" max="2826" width="4.85546875" bestFit="1" customWidth="1"/>
    <col min="2827" max="2827" width="6.7109375" bestFit="1" customWidth="1"/>
    <col min="2828" max="2828" width="9.5703125" bestFit="1" customWidth="1"/>
    <col min="2829" max="2829" width="7.42578125" bestFit="1" customWidth="1"/>
    <col min="3073" max="3073" width="27" bestFit="1" customWidth="1"/>
    <col min="3074" max="3074" width="26.85546875" bestFit="1" customWidth="1"/>
    <col min="3075" max="3075" width="7.7109375" bestFit="1" customWidth="1"/>
    <col min="3076" max="3076" width="6.85546875" bestFit="1" customWidth="1"/>
    <col min="3077" max="3077" width="17.28515625" bestFit="1" customWidth="1"/>
    <col min="3078" max="3078" width="37.140625" bestFit="1" customWidth="1"/>
    <col min="3079" max="3079" width="5.5703125" bestFit="1" customWidth="1"/>
    <col min="3080" max="3080" width="7.5703125" bestFit="1" customWidth="1"/>
    <col min="3081" max="3081" width="2.140625" bestFit="1" customWidth="1"/>
    <col min="3082" max="3082" width="4.85546875" bestFit="1" customWidth="1"/>
    <col min="3083" max="3083" width="6.7109375" bestFit="1" customWidth="1"/>
    <col min="3084" max="3084" width="9.5703125" bestFit="1" customWidth="1"/>
    <col min="3085" max="3085" width="7.42578125" bestFit="1" customWidth="1"/>
    <col min="3329" max="3329" width="27" bestFit="1" customWidth="1"/>
    <col min="3330" max="3330" width="26.85546875" bestFit="1" customWidth="1"/>
    <col min="3331" max="3331" width="7.7109375" bestFit="1" customWidth="1"/>
    <col min="3332" max="3332" width="6.85546875" bestFit="1" customWidth="1"/>
    <col min="3333" max="3333" width="17.28515625" bestFit="1" customWidth="1"/>
    <col min="3334" max="3334" width="37.140625" bestFit="1" customWidth="1"/>
    <col min="3335" max="3335" width="5.5703125" bestFit="1" customWidth="1"/>
    <col min="3336" max="3336" width="7.5703125" bestFit="1" customWidth="1"/>
    <col min="3337" max="3337" width="2.140625" bestFit="1" customWidth="1"/>
    <col min="3338" max="3338" width="4.85546875" bestFit="1" customWidth="1"/>
    <col min="3339" max="3339" width="6.7109375" bestFit="1" customWidth="1"/>
    <col min="3340" max="3340" width="9.5703125" bestFit="1" customWidth="1"/>
    <col min="3341" max="3341" width="7.42578125" bestFit="1" customWidth="1"/>
    <col min="3585" max="3585" width="27" bestFit="1" customWidth="1"/>
    <col min="3586" max="3586" width="26.85546875" bestFit="1" customWidth="1"/>
    <col min="3587" max="3587" width="7.7109375" bestFit="1" customWidth="1"/>
    <col min="3588" max="3588" width="6.85546875" bestFit="1" customWidth="1"/>
    <col min="3589" max="3589" width="17.28515625" bestFit="1" customWidth="1"/>
    <col min="3590" max="3590" width="37.140625" bestFit="1" customWidth="1"/>
    <col min="3591" max="3591" width="5.5703125" bestFit="1" customWidth="1"/>
    <col min="3592" max="3592" width="7.5703125" bestFit="1" customWidth="1"/>
    <col min="3593" max="3593" width="2.140625" bestFit="1" customWidth="1"/>
    <col min="3594" max="3594" width="4.85546875" bestFit="1" customWidth="1"/>
    <col min="3595" max="3595" width="6.7109375" bestFit="1" customWidth="1"/>
    <col min="3596" max="3596" width="9.5703125" bestFit="1" customWidth="1"/>
    <col min="3597" max="3597" width="7.42578125" bestFit="1" customWidth="1"/>
    <col min="3841" max="3841" width="27" bestFit="1" customWidth="1"/>
    <col min="3842" max="3842" width="26.85546875" bestFit="1" customWidth="1"/>
    <col min="3843" max="3843" width="7.7109375" bestFit="1" customWidth="1"/>
    <col min="3844" max="3844" width="6.85546875" bestFit="1" customWidth="1"/>
    <col min="3845" max="3845" width="17.28515625" bestFit="1" customWidth="1"/>
    <col min="3846" max="3846" width="37.140625" bestFit="1" customWidth="1"/>
    <col min="3847" max="3847" width="5.5703125" bestFit="1" customWidth="1"/>
    <col min="3848" max="3848" width="7.5703125" bestFit="1" customWidth="1"/>
    <col min="3849" max="3849" width="2.140625" bestFit="1" customWidth="1"/>
    <col min="3850" max="3850" width="4.85546875" bestFit="1" customWidth="1"/>
    <col min="3851" max="3851" width="6.7109375" bestFit="1" customWidth="1"/>
    <col min="3852" max="3852" width="9.5703125" bestFit="1" customWidth="1"/>
    <col min="3853" max="3853" width="7.42578125" bestFit="1" customWidth="1"/>
    <col min="4097" max="4097" width="27" bestFit="1" customWidth="1"/>
    <col min="4098" max="4098" width="26.85546875" bestFit="1" customWidth="1"/>
    <col min="4099" max="4099" width="7.7109375" bestFit="1" customWidth="1"/>
    <col min="4100" max="4100" width="6.85546875" bestFit="1" customWidth="1"/>
    <col min="4101" max="4101" width="17.28515625" bestFit="1" customWidth="1"/>
    <col min="4102" max="4102" width="37.140625" bestFit="1" customWidth="1"/>
    <col min="4103" max="4103" width="5.5703125" bestFit="1" customWidth="1"/>
    <col min="4104" max="4104" width="7.5703125" bestFit="1" customWidth="1"/>
    <col min="4105" max="4105" width="2.140625" bestFit="1" customWidth="1"/>
    <col min="4106" max="4106" width="4.85546875" bestFit="1" customWidth="1"/>
    <col min="4107" max="4107" width="6.7109375" bestFit="1" customWidth="1"/>
    <col min="4108" max="4108" width="9.5703125" bestFit="1" customWidth="1"/>
    <col min="4109" max="4109" width="7.42578125" bestFit="1" customWidth="1"/>
    <col min="4353" max="4353" width="27" bestFit="1" customWidth="1"/>
    <col min="4354" max="4354" width="26.85546875" bestFit="1" customWidth="1"/>
    <col min="4355" max="4355" width="7.7109375" bestFit="1" customWidth="1"/>
    <col min="4356" max="4356" width="6.85546875" bestFit="1" customWidth="1"/>
    <col min="4357" max="4357" width="17.28515625" bestFit="1" customWidth="1"/>
    <col min="4358" max="4358" width="37.140625" bestFit="1" customWidth="1"/>
    <col min="4359" max="4359" width="5.5703125" bestFit="1" customWidth="1"/>
    <col min="4360" max="4360" width="7.5703125" bestFit="1" customWidth="1"/>
    <col min="4361" max="4361" width="2.140625" bestFit="1" customWidth="1"/>
    <col min="4362" max="4362" width="4.85546875" bestFit="1" customWidth="1"/>
    <col min="4363" max="4363" width="6.7109375" bestFit="1" customWidth="1"/>
    <col min="4364" max="4364" width="9.5703125" bestFit="1" customWidth="1"/>
    <col min="4365" max="4365" width="7.42578125" bestFit="1" customWidth="1"/>
    <col min="4609" max="4609" width="27" bestFit="1" customWidth="1"/>
    <col min="4610" max="4610" width="26.85546875" bestFit="1" customWidth="1"/>
    <col min="4611" max="4611" width="7.7109375" bestFit="1" customWidth="1"/>
    <col min="4612" max="4612" width="6.85546875" bestFit="1" customWidth="1"/>
    <col min="4613" max="4613" width="17.28515625" bestFit="1" customWidth="1"/>
    <col min="4614" max="4614" width="37.140625" bestFit="1" customWidth="1"/>
    <col min="4615" max="4615" width="5.5703125" bestFit="1" customWidth="1"/>
    <col min="4616" max="4616" width="7.5703125" bestFit="1" customWidth="1"/>
    <col min="4617" max="4617" width="2.140625" bestFit="1" customWidth="1"/>
    <col min="4618" max="4618" width="4.85546875" bestFit="1" customWidth="1"/>
    <col min="4619" max="4619" width="6.7109375" bestFit="1" customWidth="1"/>
    <col min="4620" max="4620" width="9.5703125" bestFit="1" customWidth="1"/>
    <col min="4621" max="4621" width="7.42578125" bestFit="1" customWidth="1"/>
    <col min="4865" max="4865" width="27" bestFit="1" customWidth="1"/>
    <col min="4866" max="4866" width="26.85546875" bestFit="1" customWidth="1"/>
    <col min="4867" max="4867" width="7.7109375" bestFit="1" customWidth="1"/>
    <col min="4868" max="4868" width="6.85546875" bestFit="1" customWidth="1"/>
    <col min="4869" max="4869" width="17.28515625" bestFit="1" customWidth="1"/>
    <col min="4870" max="4870" width="37.140625" bestFit="1" customWidth="1"/>
    <col min="4871" max="4871" width="5.5703125" bestFit="1" customWidth="1"/>
    <col min="4872" max="4872" width="7.5703125" bestFit="1" customWidth="1"/>
    <col min="4873" max="4873" width="2.140625" bestFit="1" customWidth="1"/>
    <col min="4874" max="4874" width="4.85546875" bestFit="1" customWidth="1"/>
    <col min="4875" max="4875" width="6.7109375" bestFit="1" customWidth="1"/>
    <col min="4876" max="4876" width="9.5703125" bestFit="1" customWidth="1"/>
    <col min="4877" max="4877" width="7.42578125" bestFit="1" customWidth="1"/>
    <col min="5121" max="5121" width="27" bestFit="1" customWidth="1"/>
    <col min="5122" max="5122" width="26.85546875" bestFit="1" customWidth="1"/>
    <col min="5123" max="5123" width="7.7109375" bestFit="1" customWidth="1"/>
    <col min="5124" max="5124" width="6.85546875" bestFit="1" customWidth="1"/>
    <col min="5125" max="5125" width="17.28515625" bestFit="1" customWidth="1"/>
    <col min="5126" max="5126" width="37.140625" bestFit="1" customWidth="1"/>
    <col min="5127" max="5127" width="5.5703125" bestFit="1" customWidth="1"/>
    <col min="5128" max="5128" width="7.5703125" bestFit="1" customWidth="1"/>
    <col min="5129" max="5129" width="2.140625" bestFit="1" customWidth="1"/>
    <col min="5130" max="5130" width="4.85546875" bestFit="1" customWidth="1"/>
    <col min="5131" max="5131" width="6.7109375" bestFit="1" customWidth="1"/>
    <col min="5132" max="5132" width="9.5703125" bestFit="1" customWidth="1"/>
    <col min="5133" max="5133" width="7.42578125" bestFit="1" customWidth="1"/>
    <col min="5377" max="5377" width="27" bestFit="1" customWidth="1"/>
    <col min="5378" max="5378" width="26.85546875" bestFit="1" customWidth="1"/>
    <col min="5379" max="5379" width="7.7109375" bestFit="1" customWidth="1"/>
    <col min="5380" max="5380" width="6.85546875" bestFit="1" customWidth="1"/>
    <col min="5381" max="5381" width="17.28515625" bestFit="1" customWidth="1"/>
    <col min="5382" max="5382" width="37.140625" bestFit="1" customWidth="1"/>
    <col min="5383" max="5383" width="5.5703125" bestFit="1" customWidth="1"/>
    <col min="5384" max="5384" width="7.5703125" bestFit="1" customWidth="1"/>
    <col min="5385" max="5385" width="2.140625" bestFit="1" customWidth="1"/>
    <col min="5386" max="5386" width="4.85546875" bestFit="1" customWidth="1"/>
    <col min="5387" max="5387" width="6.7109375" bestFit="1" customWidth="1"/>
    <col min="5388" max="5388" width="9.5703125" bestFit="1" customWidth="1"/>
    <col min="5389" max="5389" width="7.42578125" bestFit="1" customWidth="1"/>
    <col min="5633" max="5633" width="27" bestFit="1" customWidth="1"/>
    <col min="5634" max="5634" width="26.85546875" bestFit="1" customWidth="1"/>
    <col min="5635" max="5635" width="7.7109375" bestFit="1" customWidth="1"/>
    <col min="5636" max="5636" width="6.85546875" bestFit="1" customWidth="1"/>
    <col min="5637" max="5637" width="17.28515625" bestFit="1" customWidth="1"/>
    <col min="5638" max="5638" width="37.140625" bestFit="1" customWidth="1"/>
    <col min="5639" max="5639" width="5.5703125" bestFit="1" customWidth="1"/>
    <col min="5640" max="5640" width="7.5703125" bestFit="1" customWidth="1"/>
    <col min="5641" max="5641" width="2.140625" bestFit="1" customWidth="1"/>
    <col min="5642" max="5642" width="4.85546875" bestFit="1" customWidth="1"/>
    <col min="5643" max="5643" width="6.7109375" bestFit="1" customWidth="1"/>
    <col min="5644" max="5644" width="9.5703125" bestFit="1" customWidth="1"/>
    <col min="5645" max="5645" width="7.42578125" bestFit="1" customWidth="1"/>
    <col min="5889" max="5889" width="27" bestFit="1" customWidth="1"/>
    <col min="5890" max="5890" width="26.85546875" bestFit="1" customWidth="1"/>
    <col min="5891" max="5891" width="7.7109375" bestFit="1" customWidth="1"/>
    <col min="5892" max="5892" width="6.85546875" bestFit="1" customWidth="1"/>
    <col min="5893" max="5893" width="17.28515625" bestFit="1" customWidth="1"/>
    <col min="5894" max="5894" width="37.140625" bestFit="1" customWidth="1"/>
    <col min="5895" max="5895" width="5.5703125" bestFit="1" customWidth="1"/>
    <col min="5896" max="5896" width="7.5703125" bestFit="1" customWidth="1"/>
    <col min="5897" max="5897" width="2.140625" bestFit="1" customWidth="1"/>
    <col min="5898" max="5898" width="4.85546875" bestFit="1" customWidth="1"/>
    <col min="5899" max="5899" width="6.7109375" bestFit="1" customWidth="1"/>
    <col min="5900" max="5900" width="9.5703125" bestFit="1" customWidth="1"/>
    <col min="5901" max="5901" width="7.42578125" bestFit="1" customWidth="1"/>
    <col min="6145" max="6145" width="27" bestFit="1" customWidth="1"/>
    <col min="6146" max="6146" width="26.85546875" bestFit="1" customWidth="1"/>
    <col min="6147" max="6147" width="7.7109375" bestFit="1" customWidth="1"/>
    <col min="6148" max="6148" width="6.85546875" bestFit="1" customWidth="1"/>
    <col min="6149" max="6149" width="17.28515625" bestFit="1" customWidth="1"/>
    <col min="6150" max="6150" width="37.140625" bestFit="1" customWidth="1"/>
    <col min="6151" max="6151" width="5.5703125" bestFit="1" customWidth="1"/>
    <col min="6152" max="6152" width="7.5703125" bestFit="1" customWidth="1"/>
    <col min="6153" max="6153" width="2.140625" bestFit="1" customWidth="1"/>
    <col min="6154" max="6154" width="4.85546875" bestFit="1" customWidth="1"/>
    <col min="6155" max="6155" width="6.7109375" bestFit="1" customWidth="1"/>
    <col min="6156" max="6156" width="9.5703125" bestFit="1" customWidth="1"/>
    <col min="6157" max="6157" width="7.42578125" bestFit="1" customWidth="1"/>
    <col min="6401" max="6401" width="27" bestFit="1" customWidth="1"/>
    <col min="6402" max="6402" width="26.85546875" bestFit="1" customWidth="1"/>
    <col min="6403" max="6403" width="7.7109375" bestFit="1" customWidth="1"/>
    <col min="6404" max="6404" width="6.85546875" bestFit="1" customWidth="1"/>
    <col min="6405" max="6405" width="17.28515625" bestFit="1" customWidth="1"/>
    <col min="6406" max="6406" width="37.140625" bestFit="1" customWidth="1"/>
    <col min="6407" max="6407" width="5.5703125" bestFit="1" customWidth="1"/>
    <col min="6408" max="6408" width="7.5703125" bestFit="1" customWidth="1"/>
    <col min="6409" max="6409" width="2.140625" bestFit="1" customWidth="1"/>
    <col min="6410" max="6410" width="4.85546875" bestFit="1" customWidth="1"/>
    <col min="6411" max="6411" width="6.7109375" bestFit="1" customWidth="1"/>
    <col min="6412" max="6412" width="9.5703125" bestFit="1" customWidth="1"/>
    <col min="6413" max="6413" width="7.42578125" bestFit="1" customWidth="1"/>
    <col min="6657" max="6657" width="27" bestFit="1" customWidth="1"/>
    <col min="6658" max="6658" width="26.85546875" bestFit="1" customWidth="1"/>
    <col min="6659" max="6659" width="7.7109375" bestFit="1" customWidth="1"/>
    <col min="6660" max="6660" width="6.85546875" bestFit="1" customWidth="1"/>
    <col min="6661" max="6661" width="17.28515625" bestFit="1" customWidth="1"/>
    <col min="6662" max="6662" width="37.140625" bestFit="1" customWidth="1"/>
    <col min="6663" max="6663" width="5.5703125" bestFit="1" customWidth="1"/>
    <col min="6664" max="6664" width="7.5703125" bestFit="1" customWidth="1"/>
    <col min="6665" max="6665" width="2.140625" bestFit="1" customWidth="1"/>
    <col min="6666" max="6666" width="4.85546875" bestFit="1" customWidth="1"/>
    <col min="6667" max="6667" width="6.7109375" bestFit="1" customWidth="1"/>
    <col min="6668" max="6668" width="9.5703125" bestFit="1" customWidth="1"/>
    <col min="6669" max="6669" width="7.42578125" bestFit="1" customWidth="1"/>
    <col min="6913" max="6913" width="27" bestFit="1" customWidth="1"/>
    <col min="6914" max="6914" width="26.85546875" bestFit="1" customWidth="1"/>
    <col min="6915" max="6915" width="7.7109375" bestFit="1" customWidth="1"/>
    <col min="6916" max="6916" width="6.85546875" bestFit="1" customWidth="1"/>
    <col min="6917" max="6917" width="17.28515625" bestFit="1" customWidth="1"/>
    <col min="6918" max="6918" width="37.140625" bestFit="1" customWidth="1"/>
    <col min="6919" max="6919" width="5.5703125" bestFit="1" customWidth="1"/>
    <col min="6920" max="6920" width="7.5703125" bestFit="1" customWidth="1"/>
    <col min="6921" max="6921" width="2.140625" bestFit="1" customWidth="1"/>
    <col min="6922" max="6922" width="4.85546875" bestFit="1" customWidth="1"/>
    <col min="6923" max="6923" width="6.7109375" bestFit="1" customWidth="1"/>
    <col min="6924" max="6924" width="9.5703125" bestFit="1" customWidth="1"/>
    <col min="6925" max="6925" width="7.42578125" bestFit="1" customWidth="1"/>
    <col min="7169" max="7169" width="27" bestFit="1" customWidth="1"/>
    <col min="7170" max="7170" width="26.85546875" bestFit="1" customWidth="1"/>
    <col min="7171" max="7171" width="7.7109375" bestFit="1" customWidth="1"/>
    <col min="7172" max="7172" width="6.85546875" bestFit="1" customWidth="1"/>
    <col min="7173" max="7173" width="17.28515625" bestFit="1" customWidth="1"/>
    <col min="7174" max="7174" width="37.140625" bestFit="1" customWidth="1"/>
    <col min="7175" max="7175" width="5.5703125" bestFit="1" customWidth="1"/>
    <col min="7176" max="7176" width="7.5703125" bestFit="1" customWidth="1"/>
    <col min="7177" max="7177" width="2.140625" bestFit="1" customWidth="1"/>
    <col min="7178" max="7178" width="4.85546875" bestFit="1" customWidth="1"/>
    <col min="7179" max="7179" width="6.7109375" bestFit="1" customWidth="1"/>
    <col min="7180" max="7180" width="9.5703125" bestFit="1" customWidth="1"/>
    <col min="7181" max="7181" width="7.42578125" bestFit="1" customWidth="1"/>
    <col min="7425" max="7425" width="27" bestFit="1" customWidth="1"/>
    <col min="7426" max="7426" width="26.85546875" bestFit="1" customWidth="1"/>
    <col min="7427" max="7427" width="7.7109375" bestFit="1" customWidth="1"/>
    <col min="7428" max="7428" width="6.85546875" bestFit="1" customWidth="1"/>
    <col min="7429" max="7429" width="17.28515625" bestFit="1" customWidth="1"/>
    <col min="7430" max="7430" width="37.140625" bestFit="1" customWidth="1"/>
    <col min="7431" max="7431" width="5.5703125" bestFit="1" customWidth="1"/>
    <col min="7432" max="7432" width="7.5703125" bestFit="1" customWidth="1"/>
    <col min="7433" max="7433" width="2.140625" bestFit="1" customWidth="1"/>
    <col min="7434" max="7434" width="4.85546875" bestFit="1" customWidth="1"/>
    <col min="7435" max="7435" width="6.7109375" bestFit="1" customWidth="1"/>
    <col min="7436" max="7436" width="9.5703125" bestFit="1" customWidth="1"/>
    <col min="7437" max="7437" width="7.42578125" bestFit="1" customWidth="1"/>
    <col min="7681" max="7681" width="27" bestFit="1" customWidth="1"/>
    <col min="7682" max="7682" width="26.85546875" bestFit="1" customWidth="1"/>
    <col min="7683" max="7683" width="7.7109375" bestFit="1" customWidth="1"/>
    <col min="7684" max="7684" width="6.85546875" bestFit="1" customWidth="1"/>
    <col min="7685" max="7685" width="17.28515625" bestFit="1" customWidth="1"/>
    <col min="7686" max="7686" width="37.140625" bestFit="1" customWidth="1"/>
    <col min="7687" max="7687" width="5.5703125" bestFit="1" customWidth="1"/>
    <col min="7688" max="7688" width="7.5703125" bestFit="1" customWidth="1"/>
    <col min="7689" max="7689" width="2.140625" bestFit="1" customWidth="1"/>
    <col min="7690" max="7690" width="4.85546875" bestFit="1" customWidth="1"/>
    <col min="7691" max="7691" width="6.7109375" bestFit="1" customWidth="1"/>
    <col min="7692" max="7692" width="9.5703125" bestFit="1" customWidth="1"/>
    <col min="7693" max="7693" width="7.42578125" bestFit="1" customWidth="1"/>
    <col min="7937" max="7937" width="27" bestFit="1" customWidth="1"/>
    <col min="7938" max="7938" width="26.85546875" bestFit="1" customWidth="1"/>
    <col min="7939" max="7939" width="7.7109375" bestFit="1" customWidth="1"/>
    <col min="7940" max="7940" width="6.85546875" bestFit="1" customWidth="1"/>
    <col min="7941" max="7941" width="17.28515625" bestFit="1" customWidth="1"/>
    <col min="7942" max="7942" width="37.140625" bestFit="1" customWidth="1"/>
    <col min="7943" max="7943" width="5.5703125" bestFit="1" customWidth="1"/>
    <col min="7944" max="7944" width="7.5703125" bestFit="1" customWidth="1"/>
    <col min="7945" max="7945" width="2.140625" bestFit="1" customWidth="1"/>
    <col min="7946" max="7946" width="4.85546875" bestFit="1" customWidth="1"/>
    <col min="7947" max="7947" width="6.7109375" bestFit="1" customWidth="1"/>
    <col min="7948" max="7948" width="9.5703125" bestFit="1" customWidth="1"/>
    <col min="7949" max="7949" width="7.42578125" bestFit="1" customWidth="1"/>
    <col min="8193" max="8193" width="27" bestFit="1" customWidth="1"/>
    <col min="8194" max="8194" width="26.85546875" bestFit="1" customWidth="1"/>
    <col min="8195" max="8195" width="7.7109375" bestFit="1" customWidth="1"/>
    <col min="8196" max="8196" width="6.85546875" bestFit="1" customWidth="1"/>
    <col min="8197" max="8197" width="17.28515625" bestFit="1" customWidth="1"/>
    <col min="8198" max="8198" width="37.140625" bestFit="1" customWidth="1"/>
    <col min="8199" max="8199" width="5.5703125" bestFit="1" customWidth="1"/>
    <col min="8200" max="8200" width="7.5703125" bestFit="1" customWidth="1"/>
    <col min="8201" max="8201" width="2.140625" bestFit="1" customWidth="1"/>
    <col min="8202" max="8202" width="4.85546875" bestFit="1" customWidth="1"/>
    <col min="8203" max="8203" width="6.7109375" bestFit="1" customWidth="1"/>
    <col min="8204" max="8204" width="9.5703125" bestFit="1" customWidth="1"/>
    <col min="8205" max="8205" width="7.42578125" bestFit="1" customWidth="1"/>
    <col min="8449" max="8449" width="27" bestFit="1" customWidth="1"/>
    <col min="8450" max="8450" width="26.85546875" bestFit="1" customWidth="1"/>
    <col min="8451" max="8451" width="7.7109375" bestFit="1" customWidth="1"/>
    <col min="8452" max="8452" width="6.85546875" bestFit="1" customWidth="1"/>
    <col min="8453" max="8453" width="17.28515625" bestFit="1" customWidth="1"/>
    <col min="8454" max="8454" width="37.140625" bestFit="1" customWidth="1"/>
    <col min="8455" max="8455" width="5.5703125" bestFit="1" customWidth="1"/>
    <col min="8456" max="8456" width="7.5703125" bestFit="1" customWidth="1"/>
    <col min="8457" max="8457" width="2.140625" bestFit="1" customWidth="1"/>
    <col min="8458" max="8458" width="4.85546875" bestFit="1" customWidth="1"/>
    <col min="8459" max="8459" width="6.7109375" bestFit="1" customWidth="1"/>
    <col min="8460" max="8460" width="9.5703125" bestFit="1" customWidth="1"/>
    <col min="8461" max="8461" width="7.42578125" bestFit="1" customWidth="1"/>
    <col min="8705" max="8705" width="27" bestFit="1" customWidth="1"/>
    <col min="8706" max="8706" width="26.85546875" bestFit="1" customWidth="1"/>
    <col min="8707" max="8707" width="7.7109375" bestFit="1" customWidth="1"/>
    <col min="8708" max="8708" width="6.85546875" bestFit="1" customWidth="1"/>
    <col min="8709" max="8709" width="17.28515625" bestFit="1" customWidth="1"/>
    <col min="8710" max="8710" width="37.140625" bestFit="1" customWidth="1"/>
    <col min="8711" max="8711" width="5.5703125" bestFit="1" customWidth="1"/>
    <col min="8712" max="8712" width="7.5703125" bestFit="1" customWidth="1"/>
    <col min="8713" max="8713" width="2.140625" bestFit="1" customWidth="1"/>
    <col min="8714" max="8714" width="4.85546875" bestFit="1" customWidth="1"/>
    <col min="8715" max="8715" width="6.7109375" bestFit="1" customWidth="1"/>
    <col min="8716" max="8716" width="9.5703125" bestFit="1" customWidth="1"/>
    <col min="8717" max="8717" width="7.42578125" bestFit="1" customWidth="1"/>
    <col min="8961" max="8961" width="27" bestFit="1" customWidth="1"/>
    <col min="8962" max="8962" width="26.85546875" bestFit="1" customWidth="1"/>
    <col min="8963" max="8963" width="7.7109375" bestFit="1" customWidth="1"/>
    <col min="8964" max="8964" width="6.85546875" bestFit="1" customWidth="1"/>
    <col min="8965" max="8965" width="17.28515625" bestFit="1" customWidth="1"/>
    <col min="8966" max="8966" width="37.140625" bestFit="1" customWidth="1"/>
    <col min="8967" max="8967" width="5.5703125" bestFit="1" customWidth="1"/>
    <col min="8968" max="8968" width="7.5703125" bestFit="1" customWidth="1"/>
    <col min="8969" max="8969" width="2.140625" bestFit="1" customWidth="1"/>
    <col min="8970" max="8970" width="4.85546875" bestFit="1" customWidth="1"/>
    <col min="8971" max="8971" width="6.7109375" bestFit="1" customWidth="1"/>
    <col min="8972" max="8972" width="9.5703125" bestFit="1" customWidth="1"/>
    <col min="8973" max="8973" width="7.42578125" bestFit="1" customWidth="1"/>
    <col min="9217" max="9217" width="27" bestFit="1" customWidth="1"/>
    <col min="9218" max="9218" width="26.85546875" bestFit="1" customWidth="1"/>
    <col min="9219" max="9219" width="7.7109375" bestFit="1" customWidth="1"/>
    <col min="9220" max="9220" width="6.85546875" bestFit="1" customWidth="1"/>
    <col min="9221" max="9221" width="17.28515625" bestFit="1" customWidth="1"/>
    <col min="9222" max="9222" width="37.140625" bestFit="1" customWidth="1"/>
    <col min="9223" max="9223" width="5.5703125" bestFit="1" customWidth="1"/>
    <col min="9224" max="9224" width="7.5703125" bestFit="1" customWidth="1"/>
    <col min="9225" max="9225" width="2.140625" bestFit="1" customWidth="1"/>
    <col min="9226" max="9226" width="4.85546875" bestFit="1" customWidth="1"/>
    <col min="9227" max="9227" width="6.7109375" bestFit="1" customWidth="1"/>
    <col min="9228" max="9228" width="9.5703125" bestFit="1" customWidth="1"/>
    <col min="9229" max="9229" width="7.42578125" bestFit="1" customWidth="1"/>
    <col min="9473" max="9473" width="27" bestFit="1" customWidth="1"/>
    <col min="9474" max="9474" width="26.85546875" bestFit="1" customWidth="1"/>
    <col min="9475" max="9475" width="7.7109375" bestFit="1" customWidth="1"/>
    <col min="9476" max="9476" width="6.85546875" bestFit="1" customWidth="1"/>
    <col min="9477" max="9477" width="17.28515625" bestFit="1" customWidth="1"/>
    <col min="9478" max="9478" width="37.140625" bestFit="1" customWidth="1"/>
    <col min="9479" max="9479" width="5.5703125" bestFit="1" customWidth="1"/>
    <col min="9480" max="9480" width="7.5703125" bestFit="1" customWidth="1"/>
    <col min="9481" max="9481" width="2.140625" bestFit="1" customWidth="1"/>
    <col min="9482" max="9482" width="4.85546875" bestFit="1" customWidth="1"/>
    <col min="9483" max="9483" width="6.7109375" bestFit="1" customWidth="1"/>
    <col min="9484" max="9484" width="9.5703125" bestFit="1" customWidth="1"/>
    <col min="9485" max="9485" width="7.42578125" bestFit="1" customWidth="1"/>
    <col min="9729" max="9729" width="27" bestFit="1" customWidth="1"/>
    <col min="9730" max="9730" width="26.85546875" bestFit="1" customWidth="1"/>
    <col min="9731" max="9731" width="7.7109375" bestFit="1" customWidth="1"/>
    <col min="9732" max="9732" width="6.85546875" bestFit="1" customWidth="1"/>
    <col min="9733" max="9733" width="17.28515625" bestFit="1" customWidth="1"/>
    <col min="9734" max="9734" width="37.140625" bestFit="1" customWidth="1"/>
    <col min="9735" max="9735" width="5.5703125" bestFit="1" customWidth="1"/>
    <col min="9736" max="9736" width="7.5703125" bestFit="1" customWidth="1"/>
    <col min="9737" max="9737" width="2.140625" bestFit="1" customWidth="1"/>
    <col min="9738" max="9738" width="4.85546875" bestFit="1" customWidth="1"/>
    <col min="9739" max="9739" width="6.7109375" bestFit="1" customWidth="1"/>
    <col min="9740" max="9740" width="9.5703125" bestFit="1" customWidth="1"/>
    <col min="9741" max="9741" width="7.42578125" bestFit="1" customWidth="1"/>
    <col min="9985" max="9985" width="27" bestFit="1" customWidth="1"/>
    <col min="9986" max="9986" width="26.85546875" bestFit="1" customWidth="1"/>
    <col min="9987" max="9987" width="7.7109375" bestFit="1" customWidth="1"/>
    <col min="9988" max="9988" width="6.85546875" bestFit="1" customWidth="1"/>
    <col min="9989" max="9989" width="17.28515625" bestFit="1" customWidth="1"/>
    <col min="9990" max="9990" width="37.140625" bestFit="1" customWidth="1"/>
    <col min="9991" max="9991" width="5.5703125" bestFit="1" customWidth="1"/>
    <col min="9992" max="9992" width="7.5703125" bestFit="1" customWidth="1"/>
    <col min="9993" max="9993" width="2.140625" bestFit="1" customWidth="1"/>
    <col min="9994" max="9994" width="4.85546875" bestFit="1" customWidth="1"/>
    <col min="9995" max="9995" width="6.7109375" bestFit="1" customWidth="1"/>
    <col min="9996" max="9996" width="9.5703125" bestFit="1" customWidth="1"/>
    <col min="9997" max="9997" width="7.42578125" bestFit="1" customWidth="1"/>
    <col min="10241" max="10241" width="27" bestFit="1" customWidth="1"/>
    <col min="10242" max="10242" width="26.85546875" bestFit="1" customWidth="1"/>
    <col min="10243" max="10243" width="7.7109375" bestFit="1" customWidth="1"/>
    <col min="10244" max="10244" width="6.85546875" bestFit="1" customWidth="1"/>
    <col min="10245" max="10245" width="17.28515625" bestFit="1" customWidth="1"/>
    <col min="10246" max="10246" width="37.140625" bestFit="1" customWidth="1"/>
    <col min="10247" max="10247" width="5.5703125" bestFit="1" customWidth="1"/>
    <col min="10248" max="10248" width="7.5703125" bestFit="1" customWidth="1"/>
    <col min="10249" max="10249" width="2.140625" bestFit="1" customWidth="1"/>
    <col min="10250" max="10250" width="4.85546875" bestFit="1" customWidth="1"/>
    <col min="10251" max="10251" width="6.7109375" bestFit="1" customWidth="1"/>
    <col min="10252" max="10252" width="9.5703125" bestFit="1" customWidth="1"/>
    <col min="10253" max="10253" width="7.42578125" bestFit="1" customWidth="1"/>
    <col min="10497" max="10497" width="27" bestFit="1" customWidth="1"/>
    <col min="10498" max="10498" width="26.85546875" bestFit="1" customWidth="1"/>
    <col min="10499" max="10499" width="7.7109375" bestFit="1" customWidth="1"/>
    <col min="10500" max="10500" width="6.85546875" bestFit="1" customWidth="1"/>
    <col min="10501" max="10501" width="17.28515625" bestFit="1" customWidth="1"/>
    <col min="10502" max="10502" width="37.140625" bestFit="1" customWidth="1"/>
    <col min="10503" max="10503" width="5.5703125" bestFit="1" customWidth="1"/>
    <col min="10504" max="10504" width="7.5703125" bestFit="1" customWidth="1"/>
    <col min="10505" max="10505" width="2.140625" bestFit="1" customWidth="1"/>
    <col min="10506" max="10506" width="4.85546875" bestFit="1" customWidth="1"/>
    <col min="10507" max="10507" width="6.7109375" bestFit="1" customWidth="1"/>
    <col min="10508" max="10508" width="9.5703125" bestFit="1" customWidth="1"/>
    <col min="10509" max="10509" width="7.42578125" bestFit="1" customWidth="1"/>
    <col min="10753" max="10753" width="27" bestFit="1" customWidth="1"/>
    <col min="10754" max="10754" width="26.85546875" bestFit="1" customWidth="1"/>
    <col min="10755" max="10755" width="7.7109375" bestFit="1" customWidth="1"/>
    <col min="10756" max="10756" width="6.85546875" bestFit="1" customWidth="1"/>
    <col min="10757" max="10757" width="17.28515625" bestFit="1" customWidth="1"/>
    <col min="10758" max="10758" width="37.140625" bestFit="1" customWidth="1"/>
    <col min="10759" max="10759" width="5.5703125" bestFit="1" customWidth="1"/>
    <col min="10760" max="10760" width="7.5703125" bestFit="1" customWidth="1"/>
    <col min="10761" max="10761" width="2.140625" bestFit="1" customWidth="1"/>
    <col min="10762" max="10762" width="4.85546875" bestFit="1" customWidth="1"/>
    <col min="10763" max="10763" width="6.7109375" bestFit="1" customWidth="1"/>
    <col min="10764" max="10764" width="9.5703125" bestFit="1" customWidth="1"/>
    <col min="10765" max="10765" width="7.42578125" bestFit="1" customWidth="1"/>
    <col min="11009" max="11009" width="27" bestFit="1" customWidth="1"/>
    <col min="11010" max="11010" width="26.85546875" bestFit="1" customWidth="1"/>
    <col min="11011" max="11011" width="7.7109375" bestFit="1" customWidth="1"/>
    <col min="11012" max="11012" width="6.85546875" bestFit="1" customWidth="1"/>
    <col min="11013" max="11013" width="17.28515625" bestFit="1" customWidth="1"/>
    <col min="11014" max="11014" width="37.140625" bestFit="1" customWidth="1"/>
    <col min="11015" max="11015" width="5.5703125" bestFit="1" customWidth="1"/>
    <col min="11016" max="11016" width="7.5703125" bestFit="1" customWidth="1"/>
    <col min="11017" max="11017" width="2.140625" bestFit="1" customWidth="1"/>
    <col min="11018" max="11018" width="4.85546875" bestFit="1" customWidth="1"/>
    <col min="11019" max="11019" width="6.7109375" bestFit="1" customWidth="1"/>
    <col min="11020" max="11020" width="9.5703125" bestFit="1" customWidth="1"/>
    <col min="11021" max="11021" width="7.42578125" bestFit="1" customWidth="1"/>
    <col min="11265" max="11265" width="27" bestFit="1" customWidth="1"/>
    <col min="11266" max="11266" width="26.85546875" bestFit="1" customWidth="1"/>
    <col min="11267" max="11267" width="7.7109375" bestFit="1" customWidth="1"/>
    <col min="11268" max="11268" width="6.85546875" bestFit="1" customWidth="1"/>
    <col min="11269" max="11269" width="17.28515625" bestFit="1" customWidth="1"/>
    <col min="11270" max="11270" width="37.140625" bestFit="1" customWidth="1"/>
    <col min="11271" max="11271" width="5.5703125" bestFit="1" customWidth="1"/>
    <col min="11272" max="11272" width="7.5703125" bestFit="1" customWidth="1"/>
    <col min="11273" max="11273" width="2.140625" bestFit="1" customWidth="1"/>
    <col min="11274" max="11274" width="4.85546875" bestFit="1" customWidth="1"/>
    <col min="11275" max="11275" width="6.7109375" bestFit="1" customWidth="1"/>
    <col min="11276" max="11276" width="9.5703125" bestFit="1" customWidth="1"/>
    <col min="11277" max="11277" width="7.42578125" bestFit="1" customWidth="1"/>
    <col min="11521" max="11521" width="27" bestFit="1" customWidth="1"/>
    <col min="11522" max="11522" width="26.85546875" bestFit="1" customWidth="1"/>
    <col min="11523" max="11523" width="7.7109375" bestFit="1" customWidth="1"/>
    <col min="11524" max="11524" width="6.85546875" bestFit="1" customWidth="1"/>
    <col min="11525" max="11525" width="17.28515625" bestFit="1" customWidth="1"/>
    <col min="11526" max="11526" width="37.140625" bestFit="1" customWidth="1"/>
    <col min="11527" max="11527" width="5.5703125" bestFit="1" customWidth="1"/>
    <col min="11528" max="11528" width="7.5703125" bestFit="1" customWidth="1"/>
    <col min="11529" max="11529" width="2.140625" bestFit="1" customWidth="1"/>
    <col min="11530" max="11530" width="4.85546875" bestFit="1" customWidth="1"/>
    <col min="11531" max="11531" width="6.7109375" bestFit="1" customWidth="1"/>
    <col min="11532" max="11532" width="9.5703125" bestFit="1" customWidth="1"/>
    <col min="11533" max="11533" width="7.42578125" bestFit="1" customWidth="1"/>
    <col min="11777" max="11777" width="27" bestFit="1" customWidth="1"/>
    <col min="11778" max="11778" width="26.85546875" bestFit="1" customWidth="1"/>
    <col min="11779" max="11779" width="7.7109375" bestFit="1" customWidth="1"/>
    <col min="11780" max="11780" width="6.85546875" bestFit="1" customWidth="1"/>
    <col min="11781" max="11781" width="17.28515625" bestFit="1" customWidth="1"/>
    <col min="11782" max="11782" width="37.140625" bestFit="1" customWidth="1"/>
    <col min="11783" max="11783" width="5.5703125" bestFit="1" customWidth="1"/>
    <col min="11784" max="11784" width="7.5703125" bestFit="1" customWidth="1"/>
    <col min="11785" max="11785" width="2.140625" bestFit="1" customWidth="1"/>
    <col min="11786" max="11786" width="4.85546875" bestFit="1" customWidth="1"/>
    <col min="11787" max="11787" width="6.7109375" bestFit="1" customWidth="1"/>
    <col min="11788" max="11788" width="9.5703125" bestFit="1" customWidth="1"/>
    <col min="11789" max="11789" width="7.42578125" bestFit="1" customWidth="1"/>
    <col min="12033" max="12033" width="27" bestFit="1" customWidth="1"/>
    <col min="12034" max="12034" width="26.85546875" bestFit="1" customWidth="1"/>
    <col min="12035" max="12035" width="7.7109375" bestFit="1" customWidth="1"/>
    <col min="12036" max="12036" width="6.85546875" bestFit="1" customWidth="1"/>
    <col min="12037" max="12037" width="17.28515625" bestFit="1" customWidth="1"/>
    <col min="12038" max="12038" width="37.140625" bestFit="1" customWidth="1"/>
    <col min="12039" max="12039" width="5.5703125" bestFit="1" customWidth="1"/>
    <col min="12040" max="12040" width="7.5703125" bestFit="1" customWidth="1"/>
    <col min="12041" max="12041" width="2.140625" bestFit="1" customWidth="1"/>
    <col min="12042" max="12042" width="4.85546875" bestFit="1" customWidth="1"/>
    <col min="12043" max="12043" width="6.7109375" bestFit="1" customWidth="1"/>
    <col min="12044" max="12044" width="9.5703125" bestFit="1" customWidth="1"/>
    <col min="12045" max="12045" width="7.42578125" bestFit="1" customWidth="1"/>
    <col min="12289" max="12289" width="27" bestFit="1" customWidth="1"/>
    <col min="12290" max="12290" width="26.85546875" bestFit="1" customWidth="1"/>
    <col min="12291" max="12291" width="7.7109375" bestFit="1" customWidth="1"/>
    <col min="12292" max="12292" width="6.85546875" bestFit="1" customWidth="1"/>
    <col min="12293" max="12293" width="17.28515625" bestFit="1" customWidth="1"/>
    <col min="12294" max="12294" width="37.140625" bestFit="1" customWidth="1"/>
    <col min="12295" max="12295" width="5.5703125" bestFit="1" customWidth="1"/>
    <col min="12296" max="12296" width="7.5703125" bestFit="1" customWidth="1"/>
    <col min="12297" max="12297" width="2.140625" bestFit="1" customWidth="1"/>
    <col min="12298" max="12298" width="4.85546875" bestFit="1" customWidth="1"/>
    <col min="12299" max="12299" width="6.7109375" bestFit="1" customWidth="1"/>
    <col min="12300" max="12300" width="9.5703125" bestFit="1" customWidth="1"/>
    <col min="12301" max="12301" width="7.42578125" bestFit="1" customWidth="1"/>
    <col min="12545" max="12545" width="27" bestFit="1" customWidth="1"/>
    <col min="12546" max="12546" width="26.85546875" bestFit="1" customWidth="1"/>
    <col min="12547" max="12547" width="7.7109375" bestFit="1" customWidth="1"/>
    <col min="12548" max="12548" width="6.85546875" bestFit="1" customWidth="1"/>
    <col min="12549" max="12549" width="17.28515625" bestFit="1" customWidth="1"/>
    <col min="12550" max="12550" width="37.140625" bestFit="1" customWidth="1"/>
    <col min="12551" max="12551" width="5.5703125" bestFit="1" customWidth="1"/>
    <col min="12552" max="12552" width="7.5703125" bestFit="1" customWidth="1"/>
    <col min="12553" max="12553" width="2.140625" bestFit="1" customWidth="1"/>
    <col min="12554" max="12554" width="4.85546875" bestFit="1" customWidth="1"/>
    <col min="12555" max="12555" width="6.7109375" bestFit="1" customWidth="1"/>
    <col min="12556" max="12556" width="9.5703125" bestFit="1" customWidth="1"/>
    <col min="12557" max="12557" width="7.42578125" bestFit="1" customWidth="1"/>
    <col min="12801" max="12801" width="27" bestFit="1" customWidth="1"/>
    <col min="12802" max="12802" width="26.85546875" bestFit="1" customWidth="1"/>
    <col min="12803" max="12803" width="7.7109375" bestFit="1" customWidth="1"/>
    <col min="12804" max="12804" width="6.85546875" bestFit="1" customWidth="1"/>
    <col min="12805" max="12805" width="17.28515625" bestFit="1" customWidth="1"/>
    <col min="12806" max="12806" width="37.140625" bestFit="1" customWidth="1"/>
    <col min="12807" max="12807" width="5.5703125" bestFit="1" customWidth="1"/>
    <col min="12808" max="12808" width="7.5703125" bestFit="1" customWidth="1"/>
    <col min="12809" max="12809" width="2.140625" bestFit="1" customWidth="1"/>
    <col min="12810" max="12810" width="4.85546875" bestFit="1" customWidth="1"/>
    <col min="12811" max="12811" width="6.7109375" bestFit="1" customWidth="1"/>
    <col min="12812" max="12812" width="9.5703125" bestFit="1" customWidth="1"/>
    <col min="12813" max="12813" width="7.42578125" bestFit="1" customWidth="1"/>
    <col min="13057" max="13057" width="27" bestFit="1" customWidth="1"/>
    <col min="13058" max="13058" width="26.85546875" bestFit="1" customWidth="1"/>
    <col min="13059" max="13059" width="7.7109375" bestFit="1" customWidth="1"/>
    <col min="13060" max="13060" width="6.85546875" bestFit="1" customWidth="1"/>
    <col min="13061" max="13061" width="17.28515625" bestFit="1" customWidth="1"/>
    <col min="13062" max="13062" width="37.140625" bestFit="1" customWidth="1"/>
    <col min="13063" max="13063" width="5.5703125" bestFit="1" customWidth="1"/>
    <col min="13064" max="13064" width="7.5703125" bestFit="1" customWidth="1"/>
    <col min="13065" max="13065" width="2.140625" bestFit="1" customWidth="1"/>
    <col min="13066" max="13066" width="4.85546875" bestFit="1" customWidth="1"/>
    <col min="13067" max="13067" width="6.7109375" bestFit="1" customWidth="1"/>
    <col min="13068" max="13068" width="9.5703125" bestFit="1" customWidth="1"/>
    <col min="13069" max="13069" width="7.42578125" bestFit="1" customWidth="1"/>
    <col min="13313" max="13313" width="27" bestFit="1" customWidth="1"/>
    <col min="13314" max="13314" width="26.85546875" bestFit="1" customWidth="1"/>
    <col min="13315" max="13315" width="7.7109375" bestFit="1" customWidth="1"/>
    <col min="13316" max="13316" width="6.85546875" bestFit="1" customWidth="1"/>
    <col min="13317" max="13317" width="17.28515625" bestFit="1" customWidth="1"/>
    <col min="13318" max="13318" width="37.140625" bestFit="1" customWidth="1"/>
    <col min="13319" max="13319" width="5.5703125" bestFit="1" customWidth="1"/>
    <col min="13320" max="13320" width="7.5703125" bestFit="1" customWidth="1"/>
    <col min="13321" max="13321" width="2.140625" bestFit="1" customWidth="1"/>
    <col min="13322" max="13322" width="4.85546875" bestFit="1" customWidth="1"/>
    <col min="13323" max="13323" width="6.7109375" bestFit="1" customWidth="1"/>
    <col min="13324" max="13324" width="9.5703125" bestFit="1" customWidth="1"/>
    <col min="13325" max="13325" width="7.42578125" bestFit="1" customWidth="1"/>
    <col min="13569" max="13569" width="27" bestFit="1" customWidth="1"/>
    <col min="13570" max="13570" width="26.85546875" bestFit="1" customWidth="1"/>
    <col min="13571" max="13571" width="7.7109375" bestFit="1" customWidth="1"/>
    <col min="13572" max="13572" width="6.85546875" bestFit="1" customWidth="1"/>
    <col min="13573" max="13573" width="17.28515625" bestFit="1" customWidth="1"/>
    <col min="13574" max="13574" width="37.140625" bestFit="1" customWidth="1"/>
    <col min="13575" max="13575" width="5.5703125" bestFit="1" customWidth="1"/>
    <col min="13576" max="13576" width="7.5703125" bestFit="1" customWidth="1"/>
    <col min="13577" max="13577" width="2.140625" bestFit="1" customWidth="1"/>
    <col min="13578" max="13578" width="4.85546875" bestFit="1" customWidth="1"/>
    <col min="13579" max="13579" width="6.7109375" bestFit="1" customWidth="1"/>
    <col min="13580" max="13580" width="9.5703125" bestFit="1" customWidth="1"/>
    <col min="13581" max="13581" width="7.42578125" bestFit="1" customWidth="1"/>
    <col min="13825" max="13825" width="27" bestFit="1" customWidth="1"/>
    <col min="13826" max="13826" width="26.85546875" bestFit="1" customWidth="1"/>
    <col min="13827" max="13827" width="7.7109375" bestFit="1" customWidth="1"/>
    <col min="13828" max="13828" width="6.85546875" bestFit="1" customWidth="1"/>
    <col min="13829" max="13829" width="17.28515625" bestFit="1" customWidth="1"/>
    <col min="13830" max="13830" width="37.140625" bestFit="1" customWidth="1"/>
    <col min="13831" max="13831" width="5.5703125" bestFit="1" customWidth="1"/>
    <col min="13832" max="13832" width="7.5703125" bestFit="1" customWidth="1"/>
    <col min="13833" max="13833" width="2.140625" bestFit="1" customWidth="1"/>
    <col min="13834" max="13834" width="4.85546875" bestFit="1" customWidth="1"/>
    <col min="13835" max="13835" width="6.7109375" bestFit="1" customWidth="1"/>
    <col min="13836" max="13836" width="9.5703125" bestFit="1" customWidth="1"/>
    <col min="13837" max="13837" width="7.42578125" bestFit="1" customWidth="1"/>
    <col min="14081" max="14081" width="27" bestFit="1" customWidth="1"/>
    <col min="14082" max="14082" width="26.85546875" bestFit="1" customWidth="1"/>
    <col min="14083" max="14083" width="7.7109375" bestFit="1" customWidth="1"/>
    <col min="14084" max="14084" width="6.85546875" bestFit="1" customWidth="1"/>
    <col min="14085" max="14085" width="17.28515625" bestFit="1" customWidth="1"/>
    <col min="14086" max="14086" width="37.140625" bestFit="1" customWidth="1"/>
    <col min="14087" max="14087" width="5.5703125" bestFit="1" customWidth="1"/>
    <col min="14088" max="14088" width="7.5703125" bestFit="1" customWidth="1"/>
    <col min="14089" max="14089" width="2.140625" bestFit="1" customWidth="1"/>
    <col min="14090" max="14090" width="4.85546875" bestFit="1" customWidth="1"/>
    <col min="14091" max="14091" width="6.7109375" bestFit="1" customWidth="1"/>
    <col min="14092" max="14092" width="9.5703125" bestFit="1" customWidth="1"/>
    <col min="14093" max="14093" width="7.42578125" bestFit="1" customWidth="1"/>
    <col min="14337" max="14337" width="27" bestFit="1" customWidth="1"/>
    <col min="14338" max="14338" width="26.85546875" bestFit="1" customWidth="1"/>
    <col min="14339" max="14339" width="7.7109375" bestFit="1" customWidth="1"/>
    <col min="14340" max="14340" width="6.85546875" bestFit="1" customWidth="1"/>
    <col min="14341" max="14341" width="17.28515625" bestFit="1" customWidth="1"/>
    <col min="14342" max="14342" width="37.140625" bestFit="1" customWidth="1"/>
    <col min="14343" max="14343" width="5.5703125" bestFit="1" customWidth="1"/>
    <col min="14344" max="14344" width="7.5703125" bestFit="1" customWidth="1"/>
    <col min="14345" max="14345" width="2.140625" bestFit="1" customWidth="1"/>
    <col min="14346" max="14346" width="4.85546875" bestFit="1" customWidth="1"/>
    <col min="14347" max="14347" width="6.7109375" bestFit="1" customWidth="1"/>
    <col min="14348" max="14348" width="9.5703125" bestFit="1" customWidth="1"/>
    <col min="14349" max="14349" width="7.42578125" bestFit="1" customWidth="1"/>
    <col min="14593" max="14593" width="27" bestFit="1" customWidth="1"/>
    <col min="14594" max="14594" width="26.85546875" bestFit="1" customWidth="1"/>
    <col min="14595" max="14595" width="7.7109375" bestFit="1" customWidth="1"/>
    <col min="14596" max="14596" width="6.85546875" bestFit="1" customWidth="1"/>
    <col min="14597" max="14597" width="17.28515625" bestFit="1" customWidth="1"/>
    <col min="14598" max="14598" width="37.140625" bestFit="1" customWidth="1"/>
    <col min="14599" max="14599" width="5.5703125" bestFit="1" customWidth="1"/>
    <col min="14600" max="14600" width="7.5703125" bestFit="1" customWidth="1"/>
    <col min="14601" max="14601" width="2.140625" bestFit="1" customWidth="1"/>
    <col min="14602" max="14602" width="4.85546875" bestFit="1" customWidth="1"/>
    <col min="14603" max="14603" width="6.7109375" bestFit="1" customWidth="1"/>
    <col min="14604" max="14604" width="9.5703125" bestFit="1" customWidth="1"/>
    <col min="14605" max="14605" width="7.42578125" bestFit="1" customWidth="1"/>
    <col min="14849" max="14849" width="27" bestFit="1" customWidth="1"/>
    <col min="14850" max="14850" width="26.85546875" bestFit="1" customWidth="1"/>
    <col min="14851" max="14851" width="7.7109375" bestFit="1" customWidth="1"/>
    <col min="14852" max="14852" width="6.85546875" bestFit="1" customWidth="1"/>
    <col min="14853" max="14853" width="17.28515625" bestFit="1" customWidth="1"/>
    <col min="14854" max="14854" width="37.140625" bestFit="1" customWidth="1"/>
    <col min="14855" max="14855" width="5.5703125" bestFit="1" customWidth="1"/>
    <col min="14856" max="14856" width="7.5703125" bestFit="1" customWidth="1"/>
    <col min="14857" max="14857" width="2.140625" bestFit="1" customWidth="1"/>
    <col min="14858" max="14858" width="4.85546875" bestFit="1" customWidth="1"/>
    <col min="14859" max="14859" width="6.7109375" bestFit="1" customWidth="1"/>
    <col min="14860" max="14860" width="9.5703125" bestFit="1" customWidth="1"/>
    <col min="14861" max="14861" width="7.42578125" bestFit="1" customWidth="1"/>
    <col min="15105" max="15105" width="27" bestFit="1" customWidth="1"/>
    <col min="15106" max="15106" width="26.85546875" bestFit="1" customWidth="1"/>
    <col min="15107" max="15107" width="7.7109375" bestFit="1" customWidth="1"/>
    <col min="15108" max="15108" width="6.85546875" bestFit="1" customWidth="1"/>
    <col min="15109" max="15109" width="17.28515625" bestFit="1" customWidth="1"/>
    <col min="15110" max="15110" width="37.140625" bestFit="1" customWidth="1"/>
    <col min="15111" max="15111" width="5.5703125" bestFit="1" customWidth="1"/>
    <col min="15112" max="15112" width="7.5703125" bestFit="1" customWidth="1"/>
    <col min="15113" max="15113" width="2.140625" bestFit="1" customWidth="1"/>
    <col min="15114" max="15114" width="4.85546875" bestFit="1" customWidth="1"/>
    <col min="15115" max="15115" width="6.7109375" bestFit="1" customWidth="1"/>
    <col min="15116" max="15116" width="9.5703125" bestFit="1" customWidth="1"/>
    <col min="15117" max="15117" width="7.42578125" bestFit="1" customWidth="1"/>
    <col min="15361" max="15361" width="27" bestFit="1" customWidth="1"/>
    <col min="15362" max="15362" width="26.85546875" bestFit="1" customWidth="1"/>
    <col min="15363" max="15363" width="7.7109375" bestFit="1" customWidth="1"/>
    <col min="15364" max="15364" width="6.85546875" bestFit="1" customWidth="1"/>
    <col min="15365" max="15365" width="17.28515625" bestFit="1" customWidth="1"/>
    <col min="15366" max="15366" width="37.140625" bestFit="1" customWidth="1"/>
    <col min="15367" max="15367" width="5.5703125" bestFit="1" customWidth="1"/>
    <col min="15368" max="15368" width="7.5703125" bestFit="1" customWidth="1"/>
    <col min="15369" max="15369" width="2.140625" bestFit="1" customWidth="1"/>
    <col min="15370" max="15370" width="4.85546875" bestFit="1" customWidth="1"/>
    <col min="15371" max="15371" width="6.7109375" bestFit="1" customWidth="1"/>
    <col min="15372" max="15372" width="9.5703125" bestFit="1" customWidth="1"/>
    <col min="15373" max="15373" width="7.42578125" bestFit="1" customWidth="1"/>
    <col min="15617" max="15617" width="27" bestFit="1" customWidth="1"/>
    <col min="15618" max="15618" width="26.85546875" bestFit="1" customWidth="1"/>
    <col min="15619" max="15619" width="7.7109375" bestFit="1" customWidth="1"/>
    <col min="15620" max="15620" width="6.85546875" bestFit="1" customWidth="1"/>
    <col min="15621" max="15621" width="17.28515625" bestFit="1" customWidth="1"/>
    <col min="15622" max="15622" width="37.140625" bestFit="1" customWidth="1"/>
    <col min="15623" max="15623" width="5.5703125" bestFit="1" customWidth="1"/>
    <col min="15624" max="15624" width="7.5703125" bestFit="1" customWidth="1"/>
    <col min="15625" max="15625" width="2.140625" bestFit="1" customWidth="1"/>
    <col min="15626" max="15626" width="4.85546875" bestFit="1" customWidth="1"/>
    <col min="15627" max="15627" width="6.7109375" bestFit="1" customWidth="1"/>
    <col min="15628" max="15628" width="9.5703125" bestFit="1" customWidth="1"/>
    <col min="15629" max="15629" width="7.42578125" bestFit="1" customWidth="1"/>
    <col min="15873" max="15873" width="27" bestFit="1" customWidth="1"/>
    <col min="15874" max="15874" width="26.85546875" bestFit="1" customWidth="1"/>
    <col min="15875" max="15875" width="7.7109375" bestFit="1" customWidth="1"/>
    <col min="15876" max="15876" width="6.85546875" bestFit="1" customWidth="1"/>
    <col min="15877" max="15877" width="17.28515625" bestFit="1" customWidth="1"/>
    <col min="15878" max="15878" width="37.140625" bestFit="1" customWidth="1"/>
    <col min="15879" max="15879" width="5.5703125" bestFit="1" customWidth="1"/>
    <col min="15880" max="15880" width="7.5703125" bestFit="1" customWidth="1"/>
    <col min="15881" max="15881" width="2.140625" bestFit="1" customWidth="1"/>
    <col min="15882" max="15882" width="4.85546875" bestFit="1" customWidth="1"/>
    <col min="15883" max="15883" width="6.7109375" bestFit="1" customWidth="1"/>
    <col min="15884" max="15884" width="9.5703125" bestFit="1" customWidth="1"/>
    <col min="15885" max="15885" width="7.42578125" bestFit="1" customWidth="1"/>
    <col min="16129" max="16129" width="27" bestFit="1" customWidth="1"/>
    <col min="16130" max="16130" width="26.85546875" bestFit="1" customWidth="1"/>
    <col min="16131" max="16131" width="7.7109375" bestFit="1" customWidth="1"/>
    <col min="16132" max="16132" width="6.85546875" bestFit="1" customWidth="1"/>
    <col min="16133" max="16133" width="17.28515625" bestFit="1" customWidth="1"/>
    <col min="16134" max="16134" width="37.140625" bestFit="1" customWidth="1"/>
    <col min="16135" max="16135" width="5.5703125" bestFit="1" customWidth="1"/>
    <col min="16136" max="16136" width="7.5703125" bestFit="1" customWidth="1"/>
    <col min="16137" max="16137" width="2.140625" bestFit="1" customWidth="1"/>
    <col min="16138" max="16138" width="4.85546875" bestFit="1" customWidth="1"/>
    <col min="16139" max="16139" width="6.7109375" bestFit="1" customWidth="1"/>
    <col min="16140" max="16140" width="9.5703125" bestFit="1" customWidth="1"/>
    <col min="16141" max="16141" width="7.42578125" bestFit="1" customWidth="1"/>
  </cols>
  <sheetData>
    <row r="1" spans="1:13" s="1" customFormat="1" ht="15" customHeight="1">
      <c r="A1" s="53" t="s">
        <v>942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1" customFormat="1" ht="13.5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7" customFormat="1" ht="12.75" customHeight="1">
      <c r="A3" s="59" t="s">
        <v>0</v>
      </c>
      <c r="B3" s="61" t="s">
        <v>863</v>
      </c>
      <c r="C3" s="61" t="s">
        <v>11</v>
      </c>
      <c r="D3" s="63" t="s">
        <v>1</v>
      </c>
      <c r="E3" s="63" t="s">
        <v>2</v>
      </c>
      <c r="F3" s="64" t="s">
        <v>3</v>
      </c>
      <c r="G3" s="63" t="s">
        <v>5</v>
      </c>
      <c r="H3" s="63"/>
      <c r="I3" s="63"/>
      <c r="J3" s="63"/>
      <c r="K3" s="63" t="s">
        <v>7</v>
      </c>
      <c r="L3" s="63" t="s">
        <v>9</v>
      </c>
      <c r="M3" s="66" t="s">
        <v>8</v>
      </c>
    </row>
    <row r="4" spans="1:13" s="7" customFormat="1" ht="23.25" customHeight="1" thickBot="1">
      <c r="A4" s="60"/>
      <c r="B4" s="62"/>
      <c r="C4" s="62"/>
      <c r="D4" s="62"/>
      <c r="E4" s="62"/>
      <c r="F4" s="65"/>
      <c r="G4" s="2" t="s">
        <v>864</v>
      </c>
      <c r="H4" s="2" t="s">
        <v>865</v>
      </c>
      <c r="I4" s="2">
        <v>3</v>
      </c>
      <c r="J4" s="4" t="s">
        <v>10</v>
      </c>
      <c r="K4" s="62"/>
      <c r="L4" s="62"/>
      <c r="M4" s="69"/>
    </row>
    <row r="5" spans="1:13" ht="15">
      <c r="A5" s="70" t="s">
        <v>13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3">
      <c r="A6" s="35" t="s">
        <v>943</v>
      </c>
      <c r="B6" s="35" t="s">
        <v>944</v>
      </c>
      <c r="C6" s="35" t="s">
        <v>945</v>
      </c>
      <c r="D6" s="35" t="str">
        <f>"0,7095"</f>
        <v>0,7095</v>
      </c>
      <c r="E6" s="35" t="s">
        <v>17</v>
      </c>
      <c r="F6" s="35" t="s">
        <v>40</v>
      </c>
      <c r="G6" s="35" t="s">
        <v>423</v>
      </c>
      <c r="H6" s="35" t="s">
        <v>913</v>
      </c>
      <c r="I6" s="36"/>
      <c r="J6" s="36"/>
      <c r="K6" s="35">
        <v>1232.5</v>
      </c>
      <c r="L6" s="35" t="str">
        <f>"874,3971"</f>
        <v>874,3971</v>
      </c>
      <c r="M6" s="35"/>
    </row>
    <row r="8" spans="1:13" ht="15">
      <c r="A8" s="52" t="s">
        <v>139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3">
      <c r="A9" s="45" t="s">
        <v>946</v>
      </c>
      <c r="B9" s="45" t="s">
        <v>947</v>
      </c>
      <c r="C9" s="45" t="s">
        <v>948</v>
      </c>
      <c r="D9" s="45" t="str">
        <f>"0,6838"</f>
        <v>0,6838</v>
      </c>
      <c r="E9" s="45" t="s">
        <v>17</v>
      </c>
      <c r="F9" s="45" t="s">
        <v>949</v>
      </c>
      <c r="G9" s="45" t="s">
        <v>23</v>
      </c>
      <c r="H9" s="45" t="s">
        <v>950</v>
      </c>
      <c r="I9" s="46"/>
      <c r="J9" s="46"/>
      <c r="K9" s="45">
        <v>2790</v>
      </c>
      <c r="L9" s="45" t="str">
        <f>"1907,9415"</f>
        <v>1907,9415</v>
      </c>
      <c r="M9" s="45"/>
    </row>
    <row r="10" spans="1:13">
      <c r="A10" s="49" t="s">
        <v>500</v>
      </c>
      <c r="B10" s="49" t="s">
        <v>501</v>
      </c>
      <c r="C10" s="49" t="s">
        <v>502</v>
      </c>
      <c r="D10" s="49" t="str">
        <f>"0,6561"</f>
        <v>0,6561</v>
      </c>
      <c r="E10" s="49" t="s">
        <v>17</v>
      </c>
      <c r="F10" s="49" t="s">
        <v>548</v>
      </c>
      <c r="G10" s="49" t="s">
        <v>24</v>
      </c>
      <c r="H10" s="49" t="s">
        <v>951</v>
      </c>
      <c r="I10" s="50"/>
      <c r="J10" s="50"/>
      <c r="K10" s="49">
        <v>2722.5</v>
      </c>
      <c r="L10" s="49" t="str">
        <f>"1786,3683"</f>
        <v>1786,3683</v>
      </c>
      <c r="M10" s="49"/>
    </row>
    <row r="11" spans="1:13">
      <c r="A11" s="47" t="s">
        <v>946</v>
      </c>
      <c r="B11" s="47" t="s">
        <v>952</v>
      </c>
      <c r="C11" s="47" t="s">
        <v>948</v>
      </c>
      <c r="D11" s="47" t="str">
        <f>"0,7050"</f>
        <v>0,7050</v>
      </c>
      <c r="E11" s="47" t="s">
        <v>17</v>
      </c>
      <c r="F11" s="47" t="s">
        <v>949</v>
      </c>
      <c r="G11" s="47" t="s">
        <v>23</v>
      </c>
      <c r="H11" s="47" t="s">
        <v>950</v>
      </c>
      <c r="I11" s="48"/>
      <c r="J11" s="48"/>
      <c r="K11" s="47">
        <v>2790</v>
      </c>
      <c r="L11" s="47" t="str">
        <f>"1967,0876"</f>
        <v>1967,0876</v>
      </c>
      <c r="M11" s="47"/>
    </row>
    <row r="13" spans="1:13" ht="15">
      <c r="A13" s="52" t="s">
        <v>25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3">
      <c r="A14" s="35" t="s">
        <v>953</v>
      </c>
      <c r="B14" s="35" t="s">
        <v>954</v>
      </c>
      <c r="C14" s="35" t="s">
        <v>955</v>
      </c>
      <c r="D14" s="35" t="str">
        <f>"0,6382"</f>
        <v>0,6382</v>
      </c>
      <c r="E14" s="35" t="s">
        <v>17</v>
      </c>
      <c r="F14" s="35" t="s">
        <v>148</v>
      </c>
      <c r="G14" s="35" t="s">
        <v>187</v>
      </c>
      <c r="H14" s="35" t="s">
        <v>951</v>
      </c>
      <c r="I14" s="36"/>
      <c r="J14" s="36"/>
      <c r="K14" s="35">
        <v>2805</v>
      </c>
      <c r="L14" s="35" t="str">
        <f>"1790,1510"</f>
        <v>1790,1510</v>
      </c>
      <c r="M14" s="35"/>
    </row>
    <row r="16" spans="1:13" ht="15">
      <c r="A16" s="52" t="s">
        <v>53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3">
      <c r="A17" s="45" t="s">
        <v>956</v>
      </c>
      <c r="B17" s="45" t="s">
        <v>957</v>
      </c>
      <c r="C17" s="45" t="s">
        <v>958</v>
      </c>
      <c r="D17" s="45" t="str">
        <f>"0,6071"</f>
        <v>0,6071</v>
      </c>
      <c r="E17" s="45" t="s">
        <v>17</v>
      </c>
      <c r="F17" s="45" t="s">
        <v>148</v>
      </c>
      <c r="G17" s="45" t="s">
        <v>177</v>
      </c>
      <c r="H17" s="45" t="s">
        <v>909</v>
      </c>
      <c r="I17" s="46"/>
      <c r="J17" s="46"/>
      <c r="K17" s="45">
        <v>2220</v>
      </c>
      <c r="L17" s="45" t="str">
        <f>"1347,7620"</f>
        <v>1347,7620</v>
      </c>
      <c r="M17" s="45"/>
    </row>
    <row r="18" spans="1:13">
      <c r="A18" s="49" t="s">
        <v>546</v>
      </c>
      <c r="B18" s="49" t="s">
        <v>501</v>
      </c>
      <c r="C18" s="49" t="s">
        <v>547</v>
      </c>
      <c r="D18" s="49" t="str">
        <f>"0,5894"</f>
        <v>0,5894</v>
      </c>
      <c r="E18" s="49" t="s">
        <v>17</v>
      </c>
      <c r="F18" s="49" t="s">
        <v>548</v>
      </c>
      <c r="G18" s="49" t="s">
        <v>904</v>
      </c>
      <c r="H18" s="49" t="s">
        <v>913</v>
      </c>
      <c r="I18" s="50"/>
      <c r="J18" s="50"/>
      <c r="K18" s="49">
        <v>1657.5</v>
      </c>
      <c r="L18" s="49" t="str">
        <f>"976,9305"</f>
        <v>976,9305</v>
      </c>
      <c r="M18" s="49"/>
    </row>
    <row r="19" spans="1:13">
      <c r="A19" s="47" t="s">
        <v>959</v>
      </c>
      <c r="B19" s="47" t="s">
        <v>960</v>
      </c>
      <c r="C19" s="47" t="s">
        <v>961</v>
      </c>
      <c r="D19" s="47" t="str">
        <f>"0,6865"</f>
        <v>0,6865</v>
      </c>
      <c r="E19" s="47" t="s">
        <v>17</v>
      </c>
      <c r="F19" s="47" t="s">
        <v>148</v>
      </c>
      <c r="G19" s="47" t="s">
        <v>177</v>
      </c>
      <c r="H19" s="47" t="s">
        <v>962</v>
      </c>
      <c r="I19" s="48"/>
      <c r="J19" s="48"/>
      <c r="K19" s="47">
        <v>0</v>
      </c>
      <c r="L19" s="47" t="str">
        <f>"0,0000"</f>
        <v>0,0000</v>
      </c>
      <c r="M19" s="47"/>
    </row>
    <row r="21" spans="1:13" ht="15">
      <c r="A21" s="52" t="s">
        <v>84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1:13">
      <c r="A22" s="35" t="s">
        <v>580</v>
      </c>
      <c r="B22" s="35" t="s">
        <v>581</v>
      </c>
      <c r="C22" s="35" t="s">
        <v>582</v>
      </c>
      <c r="D22" s="35" t="str">
        <f>"0,6585"</f>
        <v>0,6585</v>
      </c>
      <c r="E22" s="35" t="s">
        <v>17</v>
      </c>
      <c r="F22" s="35" t="s">
        <v>148</v>
      </c>
      <c r="G22" s="35" t="s">
        <v>247</v>
      </c>
      <c r="H22" s="35" t="s">
        <v>892</v>
      </c>
      <c r="I22" s="36"/>
      <c r="J22" s="36"/>
      <c r="K22" s="35">
        <v>2200</v>
      </c>
      <c r="L22" s="35" t="str">
        <f>"1448,6076"</f>
        <v>1448,6076</v>
      </c>
      <c r="M22" s="35"/>
    </row>
    <row r="24" spans="1:13" ht="15">
      <c r="E24" s="37" t="s">
        <v>93</v>
      </c>
    </row>
    <row r="25" spans="1:13" ht="15">
      <c r="E25" s="37" t="s">
        <v>94</v>
      </c>
    </row>
    <row r="26" spans="1:13" ht="15">
      <c r="E26" s="37" t="s">
        <v>95</v>
      </c>
    </row>
    <row r="27" spans="1:13">
      <c r="E27" s="34" t="s">
        <v>96</v>
      </c>
    </row>
    <row r="28" spans="1:13">
      <c r="E28" s="34" t="s">
        <v>97</v>
      </c>
    </row>
    <row r="29" spans="1:13">
      <c r="E29" s="34" t="s">
        <v>98</v>
      </c>
    </row>
    <row r="32" spans="1:13" ht="18">
      <c r="A32" s="38" t="s">
        <v>99</v>
      </c>
      <c r="B32" s="38"/>
    </row>
    <row r="33" spans="1:5" ht="15">
      <c r="A33" s="39" t="s">
        <v>109</v>
      </c>
      <c r="B33" s="39"/>
    </row>
    <row r="34" spans="1:5" ht="14.25">
      <c r="A34" s="41" t="s">
        <v>110</v>
      </c>
      <c r="B34" s="42"/>
    </row>
    <row r="35" spans="1:5" ht="15">
      <c r="A35" s="43" t="s">
        <v>0</v>
      </c>
      <c r="B35" s="43" t="s">
        <v>102</v>
      </c>
      <c r="C35" s="43" t="s">
        <v>103</v>
      </c>
      <c r="D35" s="43" t="s">
        <v>7</v>
      </c>
      <c r="E35" s="43" t="s">
        <v>104</v>
      </c>
    </row>
    <row r="36" spans="1:5">
      <c r="A36" s="40" t="s">
        <v>946</v>
      </c>
      <c r="B36" s="34" t="s">
        <v>110</v>
      </c>
      <c r="C36" s="34" t="s">
        <v>151</v>
      </c>
      <c r="D36" s="34" t="s">
        <v>963</v>
      </c>
      <c r="E36" s="44" t="s">
        <v>964</v>
      </c>
    </row>
    <row r="37" spans="1:5">
      <c r="A37" s="40" t="s">
        <v>953</v>
      </c>
      <c r="B37" s="34" t="s">
        <v>110</v>
      </c>
      <c r="C37" s="34" t="s">
        <v>119</v>
      </c>
      <c r="D37" s="34" t="s">
        <v>965</v>
      </c>
      <c r="E37" s="44" t="s">
        <v>966</v>
      </c>
    </row>
    <row r="38" spans="1:5">
      <c r="A38" s="40" t="s">
        <v>500</v>
      </c>
      <c r="B38" s="34" t="s">
        <v>110</v>
      </c>
      <c r="C38" s="34" t="s">
        <v>151</v>
      </c>
      <c r="D38" s="34" t="s">
        <v>967</v>
      </c>
      <c r="E38" s="44" t="s">
        <v>968</v>
      </c>
    </row>
    <row r="39" spans="1:5">
      <c r="A39" s="40" t="s">
        <v>956</v>
      </c>
      <c r="B39" s="34" t="s">
        <v>110</v>
      </c>
      <c r="C39" s="34" t="s">
        <v>114</v>
      </c>
      <c r="D39" s="34" t="s">
        <v>969</v>
      </c>
      <c r="E39" s="44" t="s">
        <v>970</v>
      </c>
    </row>
    <row r="40" spans="1:5">
      <c r="A40" s="40" t="s">
        <v>546</v>
      </c>
      <c r="B40" s="34" t="s">
        <v>110</v>
      </c>
      <c r="C40" s="34" t="s">
        <v>114</v>
      </c>
      <c r="D40" s="34" t="s">
        <v>971</v>
      </c>
      <c r="E40" s="44" t="s">
        <v>972</v>
      </c>
    </row>
    <row r="41" spans="1:5">
      <c r="A41" s="40" t="s">
        <v>943</v>
      </c>
      <c r="B41" s="34" t="s">
        <v>110</v>
      </c>
      <c r="C41" s="34" t="s">
        <v>106</v>
      </c>
      <c r="D41" s="34" t="s">
        <v>973</v>
      </c>
      <c r="E41" s="44" t="s">
        <v>974</v>
      </c>
    </row>
    <row r="43" spans="1:5" ht="14.25">
      <c r="A43" s="41" t="s">
        <v>101</v>
      </c>
      <c r="B43" s="42"/>
    </row>
    <row r="44" spans="1:5" ht="15">
      <c r="A44" s="43" t="s">
        <v>0</v>
      </c>
      <c r="B44" s="43" t="s">
        <v>102</v>
      </c>
      <c r="C44" s="43" t="s">
        <v>103</v>
      </c>
      <c r="D44" s="43" t="s">
        <v>7</v>
      </c>
      <c r="E44" s="43" t="s">
        <v>104</v>
      </c>
    </row>
    <row r="45" spans="1:5">
      <c r="A45" s="40" t="s">
        <v>946</v>
      </c>
      <c r="B45" s="34" t="s">
        <v>305</v>
      </c>
      <c r="C45" s="34" t="s">
        <v>151</v>
      </c>
      <c r="D45" s="34" t="s">
        <v>963</v>
      </c>
      <c r="E45" s="44" t="s">
        <v>975</v>
      </c>
    </row>
    <row r="46" spans="1:5">
      <c r="A46" s="40" t="s">
        <v>580</v>
      </c>
      <c r="B46" s="34" t="s">
        <v>611</v>
      </c>
      <c r="C46" s="34" t="s">
        <v>111</v>
      </c>
      <c r="D46" s="34" t="s">
        <v>976</v>
      </c>
      <c r="E46" s="44" t="s">
        <v>977</v>
      </c>
    </row>
  </sheetData>
  <mergeCells count="16">
    <mergeCell ref="A21:L2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3:L13"/>
    <mergeCell ref="A16:L1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4"/>
  <sheetViews>
    <sheetView workbookViewId="0">
      <selection activeCell="F10" sqref="F10"/>
    </sheetView>
  </sheetViews>
  <sheetFormatPr defaultRowHeight="12.75"/>
  <cols>
    <col min="1" max="1" width="27" style="34" bestFit="1" customWidth="1"/>
    <col min="2" max="2" width="26.85546875" style="34" bestFit="1" customWidth="1"/>
    <col min="3" max="3" width="7.7109375" style="34" bestFit="1" customWidth="1"/>
    <col min="4" max="4" width="6.85546875" style="34" bestFit="1" customWidth="1"/>
    <col min="5" max="5" width="17.28515625" style="34" bestFit="1" customWidth="1"/>
    <col min="6" max="6" width="30" style="34" bestFit="1" customWidth="1"/>
    <col min="7" max="10" width="5.5703125" style="34" bestFit="1" customWidth="1"/>
    <col min="11" max="11" width="6.7109375" style="34" bestFit="1" customWidth="1"/>
    <col min="12" max="12" width="8.5703125" style="34" bestFit="1" customWidth="1"/>
    <col min="13" max="13" width="15.28515625" style="34" bestFit="1" customWidth="1"/>
  </cols>
  <sheetData>
    <row r="1" spans="1:13" s="1" customFormat="1" ht="15" customHeight="1">
      <c r="A1" s="53" t="s">
        <v>851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1" customFormat="1" ht="13.5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7" customFormat="1" ht="12.75" customHeight="1">
      <c r="A3" s="59" t="s">
        <v>0</v>
      </c>
      <c r="B3" s="61" t="s">
        <v>12</v>
      </c>
      <c r="C3" s="61" t="s">
        <v>11</v>
      </c>
      <c r="D3" s="63" t="s">
        <v>1</v>
      </c>
      <c r="E3" s="63" t="s">
        <v>2</v>
      </c>
      <c r="F3" s="64" t="s">
        <v>3</v>
      </c>
      <c r="G3" s="59" t="s">
        <v>6</v>
      </c>
      <c r="H3" s="63"/>
      <c r="I3" s="63"/>
      <c r="J3" s="66"/>
      <c r="K3" s="67" t="s">
        <v>7</v>
      </c>
      <c r="L3" s="63" t="s">
        <v>9</v>
      </c>
      <c r="M3" s="66" t="s">
        <v>8</v>
      </c>
    </row>
    <row r="4" spans="1:13" s="7" customFormat="1" ht="23.25" customHeight="1" thickBot="1">
      <c r="A4" s="60"/>
      <c r="B4" s="62"/>
      <c r="C4" s="62"/>
      <c r="D4" s="62"/>
      <c r="E4" s="62"/>
      <c r="F4" s="65"/>
      <c r="G4" s="3">
        <v>1</v>
      </c>
      <c r="H4" s="2">
        <v>2</v>
      </c>
      <c r="I4" s="2">
        <v>3</v>
      </c>
      <c r="J4" s="4" t="s">
        <v>10</v>
      </c>
      <c r="K4" s="68"/>
      <c r="L4" s="62"/>
      <c r="M4" s="69"/>
    </row>
    <row r="5" spans="1:13" ht="15">
      <c r="A5" s="70" t="s">
        <v>156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3">
      <c r="A6" s="45" t="s">
        <v>711</v>
      </c>
      <c r="B6" s="45" t="s">
        <v>712</v>
      </c>
      <c r="C6" s="45" t="s">
        <v>713</v>
      </c>
      <c r="D6" s="45" t="str">
        <f>"1,1093"</f>
        <v>1,1093</v>
      </c>
      <c r="E6" s="45" t="s">
        <v>589</v>
      </c>
      <c r="F6" s="45" t="s">
        <v>714</v>
      </c>
      <c r="G6" s="45" t="s">
        <v>338</v>
      </c>
      <c r="H6" s="45" t="s">
        <v>363</v>
      </c>
      <c r="I6" s="45" t="s">
        <v>43</v>
      </c>
      <c r="J6" s="46" t="s">
        <v>715</v>
      </c>
      <c r="K6" s="45">
        <v>140</v>
      </c>
      <c r="L6" s="45" t="str">
        <f>"155,3020"</f>
        <v>155,3020</v>
      </c>
      <c r="M6" s="45"/>
    </row>
    <row r="7" spans="1:13">
      <c r="A7" s="47" t="s">
        <v>716</v>
      </c>
      <c r="B7" s="47" t="s">
        <v>717</v>
      </c>
      <c r="C7" s="47" t="s">
        <v>718</v>
      </c>
      <c r="D7" s="47" t="str">
        <f>"0,9833"</f>
        <v>0,9833</v>
      </c>
      <c r="E7" s="47" t="s">
        <v>17</v>
      </c>
      <c r="F7" s="47" t="s">
        <v>719</v>
      </c>
      <c r="G7" s="47" t="s">
        <v>188</v>
      </c>
      <c r="H7" s="47" t="s">
        <v>316</v>
      </c>
      <c r="I7" s="48"/>
      <c r="J7" s="48"/>
      <c r="K7" s="47">
        <v>100</v>
      </c>
      <c r="L7" s="47" t="str">
        <f>"98,3250"</f>
        <v>98,3250</v>
      </c>
      <c r="M7" s="47"/>
    </row>
    <row r="9" spans="1:13" ht="15">
      <c r="A9" s="52" t="s">
        <v>164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3">
      <c r="A10" s="45" t="s">
        <v>720</v>
      </c>
      <c r="B10" s="45" t="s">
        <v>721</v>
      </c>
      <c r="C10" s="45" t="s">
        <v>322</v>
      </c>
      <c r="D10" s="45" t="str">
        <f>"1,0744"</f>
        <v>1,0744</v>
      </c>
      <c r="E10" s="45" t="s">
        <v>17</v>
      </c>
      <c r="F10" s="45" t="s">
        <v>719</v>
      </c>
      <c r="G10" s="46" t="s">
        <v>324</v>
      </c>
      <c r="H10" s="46" t="s">
        <v>324</v>
      </c>
      <c r="I10" s="45" t="s">
        <v>324</v>
      </c>
      <c r="J10" s="46"/>
      <c r="K10" s="45">
        <v>105</v>
      </c>
      <c r="L10" s="45" t="str">
        <f>"112,8160"</f>
        <v>112,8160</v>
      </c>
      <c r="M10" s="45"/>
    </row>
    <row r="11" spans="1:13">
      <c r="A11" s="47" t="s">
        <v>722</v>
      </c>
      <c r="B11" s="47" t="s">
        <v>723</v>
      </c>
      <c r="C11" s="47" t="s">
        <v>724</v>
      </c>
      <c r="D11" s="47" t="str">
        <f>"1,0903"</f>
        <v>1,0903</v>
      </c>
      <c r="E11" s="47" t="s">
        <v>17</v>
      </c>
      <c r="F11" s="47" t="s">
        <v>134</v>
      </c>
      <c r="G11" s="47" t="s">
        <v>188</v>
      </c>
      <c r="H11" s="47" t="s">
        <v>316</v>
      </c>
      <c r="I11" s="47" t="s">
        <v>324</v>
      </c>
      <c r="J11" s="48"/>
      <c r="K11" s="47">
        <v>105</v>
      </c>
      <c r="L11" s="47" t="str">
        <f>"114,4797"</f>
        <v>114,4797</v>
      </c>
      <c r="M11" s="47"/>
    </row>
    <row r="13" spans="1:13" ht="15">
      <c r="A13" s="52" t="s">
        <v>725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3">
      <c r="A14" s="35" t="s">
        <v>726</v>
      </c>
      <c r="B14" s="35" t="s">
        <v>727</v>
      </c>
      <c r="C14" s="35" t="s">
        <v>728</v>
      </c>
      <c r="D14" s="35" t="str">
        <f>"0,9997"</f>
        <v>0,9997</v>
      </c>
      <c r="E14" s="35" t="s">
        <v>476</v>
      </c>
      <c r="F14" s="35" t="s">
        <v>477</v>
      </c>
      <c r="G14" s="35" t="s">
        <v>22</v>
      </c>
      <c r="H14" s="35" t="s">
        <v>23</v>
      </c>
      <c r="I14" s="35" t="s">
        <v>186</v>
      </c>
      <c r="J14" s="36"/>
      <c r="K14" s="35">
        <v>80</v>
      </c>
      <c r="L14" s="35" t="str">
        <f>"79,9760"</f>
        <v>79,9760</v>
      </c>
      <c r="M14" s="35" t="s">
        <v>478</v>
      </c>
    </row>
    <row r="16" spans="1:13" ht="15">
      <c r="A16" s="52" t="s">
        <v>171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3">
      <c r="A17" s="45" t="s">
        <v>729</v>
      </c>
      <c r="B17" s="45" t="s">
        <v>730</v>
      </c>
      <c r="C17" s="45" t="s">
        <v>731</v>
      </c>
      <c r="D17" s="45" t="str">
        <f>"0,9323"</f>
        <v>0,9323</v>
      </c>
      <c r="E17" s="45" t="s">
        <v>476</v>
      </c>
      <c r="F17" s="45" t="s">
        <v>477</v>
      </c>
      <c r="G17" s="45" t="s">
        <v>162</v>
      </c>
      <c r="H17" s="45" t="s">
        <v>137</v>
      </c>
      <c r="I17" s="45" t="s">
        <v>24</v>
      </c>
      <c r="J17" s="46"/>
      <c r="K17" s="45">
        <v>82.5</v>
      </c>
      <c r="L17" s="45" t="str">
        <f>"76,9147"</f>
        <v>76,9147</v>
      </c>
      <c r="M17" s="45" t="s">
        <v>478</v>
      </c>
    </row>
    <row r="18" spans="1:13">
      <c r="A18" s="47" t="s">
        <v>732</v>
      </c>
      <c r="B18" s="47" t="s">
        <v>733</v>
      </c>
      <c r="C18" s="47" t="s">
        <v>734</v>
      </c>
      <c r="D18" s="47" t="str">
        <f>"0,9266"</f>
        <v>0,9266</v>
      </c>
      <c r="E18" s="47" t="s">
        <v>17</v>
      </c>
      <c r="F18" s="47" t="s">
        <v>89</v>
      </c>
      <c r="G18" s="47" t="s">
        <v>247</v>
      </c>
      <c r="H18" s="47" t="s">
        <v>135</v>
      </c>
      <c r="I18" s="48" t="s">
        <v>43</v>
      </c>
      <c r="J18" s="48"/>
      <c r="K18" s="47">
        <v>130</v>
      </c>
      <c r="L18" s="47" t="str">
        <f>"120,4645"</f>
        <v>120,4645</v>
      </c>
      <c r="M18" s="47"/>
    </row>
    <row r="20" spans="1:13" ht="15">
      <c r="A20" s="52" t="s">
        <v>13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</row>
    <row r="21" spans="1:13">
      <c r="A21" s="45" t="s">
        <v>735</v>
      </c>
      <c r="B21" s="45" t="s">
        <v>736</v>
      </c>
      <c r="C21" s="45" t="s">
        <v>737</v>
      </c>
      <c r="D21" s="45" t="str">
        <f>"0,8853"</f>
        <v>0,8853</v>
      </c>
      <c r="E21" s="45" t="s">
        <v>17</v>
      </c>
      <c r="F21" s="45" t="s">
        <v>714</v>
      </c>
      <c r="G21" s="45" t="s">
        <v>187</v>
      </c>
      <c r="H21" s="46" t="s">
        <v>350</v>
      </c>
      <c r="I21" s="46" t="s">
        <v>350</v>
      </c>
      <c r="J21" s="46"/>
      <c r="K21" s="45">
        <v>85</v>
      </c>
      <c r="L21" s="45" t="str">
        <f>"75,2505"</f>
        <v>75,2505</v>
      </c>
      <c r="M21" s="45"/>
    </row>
    <row r="22" spans="1:13">
      <c r="A22" s="47" t="s">
        <v>738</v>
      </c>
      <c r="B22" s="47" t="s">
        <v>739</v>
      </c>
      <c r="C22" s="47" t="s">
        <v>495</v>
      </c>
      <c r="D22" s="47" t="str">
        <f>"0,8407"</f>
        <v>0,8407</v>
      </c>
      <c r="E22" s="47" t="s">
        <v>17</v>
      </c>
      <c r="F22" s="47" t="s">
        <v>511</v>
      </c>
      <c r="G22" s="47" t="s">
        <v>316</v>
      </c>
      <c r="H22" s="47" t="s">
        <v>81</v>
      </c>
      <c r="I22" s="47" t="s">
        <v>339</v>
      </c>
      <c r="J22" s="48"/>
      <c r="K22" s="47">
        <v>127.5</v>
      </c>
      <c r="L22" s="47" t="str">
        <f>"107,1829"</f>
        <v>107,1829</v>
      </c>
      <c r="M22" s="47"/>
    </row>
    <row r="24" spans="1:13" ht="15">
      <c r="A24" s="52" t="s">
        <v>438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3">
      <c r="A25" s="35" t="s">
        <v>740</v>
      </c>
      <c r="B25" s="35" t="s">
        <v>741</v>
      </c>
      <c r="C25" s="35" t="s">
        <v>742</v>
      </c>
      <c r="D25" s="35" t="str">
        <f>"0,7157"</f>
        <v>0,7157</v>
      </c>
      <c r="E25" s="35" t="s">
        <v>17</v>
      </c>
      <c r="F25" s="35" t="s">
        <v>148</v>
      </c>
      <c r="G25" s="35" t="s">
        <v>247</v>
      </c>
      <c r="H25" s="35" t="s">
        <v>81</v>
      </c>
      <c r="I25" s="35" t="s">
        <v>135</v>
      </c>
      <c r="J25" s="36"/>
      <c r="K25" s="35">
        <v>130</v>
      </c>
      <c r="L25" s="35" t="str">
        <f>"93,0345"</f>
        <v>93,0345</v>
      </c>
      <c r="M25" s="35"/>
    </row>
    <row r="27" spans="1:13" ht="15">
      <c r="A27" s="52" t="s">
        <v>171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3">
      <c r="A28" s="35" t="s">
        <v>743</v>
      </c>
      <c r="B28" s="35" t="s">
        <v>744</v>
      </c>
      <c r="C28" s="35" t="s">
        <v>745</v>
      </c>
      <c r="D28" s="35" t="str">
        <f>"0,8617"</f>
        <v>0,8617</v>
      </c>
      <c r="E28" s="35" t="s">
        <v>17</v>
      </c>
      <c r="F28" s="35" t="s">
        <v>687</v>
      </c>
      <c r="G28" s="35" t="s">
        <v>75</v>
      </c>
      <c r="H28" s="35" t="s">
        <v>76</v>
      </c>
      <c r="I28" s="35" t="s">
        <v>194</v>
      </c>
      <c r="J28" s="36"/>
      <c r="K28" s="35">
        <v>190</v>
      </c>
      <c r="L28" s="35" t="str">
        <f>"163,7199"</f>
        <v>163,7199</v>
      </c>
      <c r="M28" s="35"/>
    </row>
    <row r="30" spans="1:13" ht="15">
      <c r="A30" s="52" t="s">
        <v>13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1:13">
      <c r="A31" s="45" t="s">
        <v>746</v>
      </c>
      <c r="B31" s="45" t="s">
        <v>747</v>
      </c>
      <c r="C31" s="45" t="s">
        <v>467</v>
      </c>
      <c r="D31" s="45" t="str">
        <f>"0,6975"</f>
        <v>0,6975</v>
      </c>
      <c r="E31" s="45" t="s">
        <v>17</v>
      </c>
      <c r="F31" s="45" t="s">
        <v>148</v>
      </c>
      <c r="G31" s="45" t="s">
        <v>75</v>
      </c>
      <c r="H31" s="45" t="s">
        <v>76</v>
      </c>
      <c r="I31" s="45" t="s">
        <v>194</v>
      </c>
      <c r="J31" s="46"/>
      <c r="K31" s="45">
        <v>190</v>
      </c>
      <c r="L31" s="45" t="str">
        <f>"132,5345"</f>
        <v>132,5345</v>
      </c>
      <c r="M31" s="45"/>
    </row>
    <row r="32" spans="1:13">
      <c r="A32" s="49" t="s">
        <v>748</v>
      </c>
      <c r="B32" s="49" t="s">
        <v>749</v>
      </c>
      <c r="C32" s="49" t="s">
        <v>481</v>
      </c>
      <c r="D32" s="49" t="str">
        <f>"0,6990"</f>
        <v>0,6990</v>
      </c>
      <c r="E32" s="49" t="s">
        <v>17</v>
      </c>
      <c r="F32" s="49" t="s">
        <v>714</v>
      </c>
      <c r="G32" s="50" t="s">
        <v>75</v>
      </c>
      <c r="H32" s="50" t="s">
        <v>75</v>
      </c>
      <c r="I32" s="50"/>
      <c r="J32" s="50"/>
      <c r="K32" s="49">
        <v>0</v>
      </c>
      <c r="L32" s="49" t="str">
        <f>"0,0000"</f>
        <v>0,0000</v>
      </c>
      <c r="M32" s="49"/>
    </row>
    <row r="33" spans="1:13">
      <c r="A33" s="49" t="s">
        <v>472</v>
      </c>
      <c r="B33" s="49" t="s">
        <v>473</v>
      </c>
      <c r="C33" s="49" t="s">
        <v>457</v>
      </c>
      <c r="D33" s="49" t="str">
        <f>"0,7049"</f>
        <v>0,7049</v>
      </c>
      <c r="E33" s="49" t="s">
        <v>17</v>
      </c>
      <c r="F33" s="49" t="s">
        <v>148</v>
      </c>
      <c r="G33" s="50" t="s">
        <v>76</v>
      </c>
      <c r="H33" s="49" t="s">
        <v>76</v>
      </c>
      <c r="I33" s="49" t="s">
        <v>268</v>
      </c>
      <c r="J33" s="50"/>
      <c r="K33" s="49">
        <v>202.5</v>
      </c>
      <c r="L33" s="49" t="str">
        <f>"142,7321"</f>
        <v>142,7321</v>
      </c>
      <c r="M33" s="49"/>
    </row>
    <row r="34" spans="1:13">
      <c r="A34" s="49" t="s">
        <v>483</v>
      </c>
      <c r="B34" s="49" t="s">
        <v>484</v>
      </c>
      <c r="C34" s="49" t="s">
        <v>485</v>
      </c>
      <c r="D34" s="49" t="str">
        <f>"0,6934"</f>
        <v>0,6934</v>
      </c>
      <c r="E34" s="49" t="s">
        <v>17</v>
      </c>
      <c r="F34" s="49" t="s">
        <v>486</v>
      </c>
      <c r="G34" s="49" t="s">
        <v>75</v>
      </c>
      <c r="H34" s="49" t="s">
        <v>76</v>
      </c>
      <c r="I34" s="49" t="s">
        <v>194</v>
      </c>
      <c r="J34" s="50"/>
      <c r="K34" s="49">
        <v>190</v>
      </c>
      <c r="L34" s="49" t="str">
        <f>"131,7365"</f>
        <v>131,7365</v>
      </c>
      <c r="M34" s="49"/>
    </row>
    <row r="35" spans="1:13">
      <c r="A35" s="47" t="s">
        <v>750</v>
      </c>
      <c r="B35" s="47" t="s">
        <v>751</v>
      </c>
      <c r="C35" s="47" t="s">
        <v>485</v>
      </c>
      <c r="D35" s="47" t="str">
        <f>"0,7148"</f>
        <v>0,7148</v>
      </c>
      <c r="E35" s="47" t="s">
        <v>17</v>
      </c>
      <c r="F35" s="47" t="s">
        <v>148</v>
      </c>
      <c r="G35" s="47" t="s">
        <v>144</v>
      </c>
      <c r="H35" s="47" t="s">
        <v>752</v>
      </c>
      <c r="I35" s="48" t="s">
        <v>708</v>
      </c>
      <c r="J35" s="48"/>
      <c r="K35" s="47">
        <v>222.5</v>
      </c>
      <c r="L35" s="47" t="str">
        <f>"159,0528"</f>
        <v>159,0528</v>
      </c>
      <c r="M35" s="47"/>
    </row>
    <row r="37" spans="1:13" ht="15">
      <c r="A37" s="52" t="s">
        <v>139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</row>
    <row r="38" spans="1:13">
      <c r="A38" s="45" t="s">
        <v>753</v>
      </c>
      <c r="B38" s="45" t="s">
        <v>754</v>
      </c>
      <c r="C38" s="45" t="s">
        <v>755</v>
      </c>
      <c r="D38" s="45" t="str">
        <f>"0,6730"</f>
        <v>0,6730</v>
      </c>
      <c r="E38" s="45" t="s">
        <v>17</v>
      </c>
      <c r="F38" s="45" t="s">
        <v>148</v>
      </c>
      <c r="G38" s="46" t="s">
        <v>193</v>
      </c>
      <c r="H38" s="45" t="s">
        <v>193</v>
      </c>
      <c r="I38" s="45" t="s">
        <v>107</v>
      </c>
      <c r="J38" s="46"/>
      <c r="K38" s="45">
        <v>192.5</v>
      </c>
      <c r="L38" s="45" t="str">
        <f>"129,5621"</f>
        <v>129,5621</v>
      </c>
      <c r="M38" s="45"/>
    </row>
    <row r="39" spans="1:13">
      <c r="A39" s="49" t="s">
        <v>756</v>
      </c>
      <c r="B39" s="49" t="s">
        <v>757</v>
      </c>
      <c r="C39" s="49" t="s">
        <v>758</v>
      </c>
      <c r="D39" s="49" t="str">
        <f>"0,6451"</f>
        <v>0,6451</v>
      </c>
      <c r="E39" s="49" t="s">
        <v>17</v>
      </c>
      <c r="F39" s="49" t="s">
        <v>148</v>
      </c>
      <c r="G39" s="49" t="s">
        <v>194</v>
      </c>
      <c r="H39" s="49" t="s">
        <v>30</v>
      </c>
      <c r="I39" s="49" t="s">
        <v>268</v>
      </c>
      <c r="J39" s="50"/>
      <c r="K39" s="49">
        <v>202.5</v>
      </c>
      <c r="L39" s="49" t="str">
        <f>"130,6327"</f>
        <v>130,6327</v>
      </c>
      <c r="M39" s="49"/>
    </row>
    <row r="40" spans="1:13">
      <c r="A40" s="49" t="s">
        <v>759</v>
      </c>
      <c r="B40" s="49" t="s">
        <v>760</v>
      </c>
      <c r="C40" s="49" t="s">
        <v>761</v>
      </c>
      <c r="D40" s="49" t="str">
        <f>"0,6497"</f>
        <v>0,6497</v>
      </c>
      <c r="E40" s="49" t="s">
        <v>17</v>
      </c>
      <c r="F40" s="49" t="s">
        <v>148</v>
      </c>
      <c r="G40" s="49" t="s">
        <v>194</v>
      </c>
      <c r="H40" s="50" t="s">
        <v>30</v>
      </c>
      <c r="I40" s="49" t="s">
        <v>30</v>
      </c>
      <c r="J40" s="50"/>
      <c r="K40" s="49">
        <v>200</v>
      </c>
      <c r="L40" s="49" t="str">
        <f>"129,9500"</f>
        <v>129,9500</v>
      </c>
      <c r="M40" s="49"/>
    </row>
    <row r="41" spans="1:13">
      <c r="A41" s="49" t="s">
        <v>762</v>
      </c>
      <c r="B41" s="49" t="s">
        <v>763</v>
      </c>
      <c r="C41" s="49" t="s">
        <v>755</v>
      </c>
      <c r="D41" s="49" t="str">
        <f>"0,7605"</f>
        <v>0,7605</v>
      </c>
      <c r="E41" s="49" t="s">
        <v>17</v>
      </c>
      <c r="F41" s="49" t="s">
        <v>687</v>
      </c>
      <c r="G41" s="49" t="s">
        <v>75</v>
      </c>
      <c r="H41" s="49" t="s">
        <v>76</v>
      </c>
      <c r="I41" s="50" t="s">
        <v>193</v>
      </c>
      <c r="J41" s="50"/>
      <c r="K41" s="49">
        <v>180</v>
      </c>
      <c r="L41" s="49" t="str">
        <f>"136,8984"</f>
        <v>136,8984</v>
      </c>
      <c r="M41" s="49"/>
    </row>
    <row r="42" spans="1:13">
      <c r="A42" s="47" t="s">
        <v>764</v>
      </c>
      <c r="B42" s="47" t="s">
        <v>765</v>
      </c>
      <c r="C42" s="47" t="s">
        <v>766</v>
      </c>
      <c r="D42" s="47" t="str">
        <f>"0,8938"</f>
        <v>0,8938</v>
      </c>
      <c r="E42" s="47" t="s">
        <v>17</v>
      </c>
      <c r="F42" s="47" t="s">
        <v>767</v>
      </c>
      <c r="G42" s="47" t="s">
        <v>371</v>
      </c>
      <c r="H42" s="47" t="s">
        <v>31</v>
      </c>
      <c r="I42" s="47" t="s">
        <v>752</v>
      </c>
      <c r="J42" s="48" t="s">
        <v>259</v>
      </c>
      <c r="K42" s="47">
        <v>222.5</v>
      </c>
      <c r="L42" s="47" t="str">
        <f>"198,8660"</f>
        <v>198,8660</v>
      </c>
      <c r="M42" s="47"/>
    </row>
    <row r="44" spans="1:13" ht="15">
      <c r="A44" s="52" t="s">
        <v>25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1:13">
      <c r="A45" s="45" t="s">
        <v>768</v>
      </c>
      <c r="B45" s="45" t="s">
        <v>769</v>
      </c>
      <c r="C45" s="45" t="s">
        <v>770</v>
      </c>
      <c r="D45" s="45" t="str">
        <f>"0,6119"</f>
        <v>0,6119</v>
      </c>
      <c r="E45" s="45" t="s">
        <v>88</v>
      </c>
      <c r="F45" s="45" t="s">
        <v>771</v>
      </c>
      <c r="G45" s="45" t="s">
        <v>42</v>
      </c>
      <c r="H45" s="45" t="s">
        <v>60</v>
      </c>
      <c r="I45" s="45" t="s">
        <v>772</v>
      </c>
      <c r="J45" s="46"/>
      <c r="K45" s="45">
        <v>285</v>
      </c>
      <c r="L45" s="45" t="str">
        <f>"174,3773"</f>
        <v>174,3773</v>
      </c>
      <c r="M45" s="45" t="s">
        <v>773</v>
      </c>
    </row>
    <row r="46" spans="1:13">
      <c r="A46" s="49" t="s">
        <v>774</v>
      </c>
      <c r="B46" s="49" t="s">
        <v>775</v>
      </c>
      <c r="C46" s="49" t="s">
        <v>515</v>
      </c>
      <c r="D46" s="49" t="str">
        <f>"0,6161"</f>
        <v>0,6161</v>
      </c>
      <c r="E46" s="49" t="s">
        <v>17</v>
      </c>
      <c r="F46" s="49" t="s">
        <v>148</v>
      </c>
      <c r="G46" s="50" t="s">
        <v>144</v>
      </c>
      <c r="H46" s="49" t="s">
        <v>144</v>
      </c>
      <c r="I46" s="49" t="s">
        <v>752</v>
      </c>
      <c r="J46" s="50"/>
      <c r="K46" s="49">
        <v>222.5</v>
      </c>
      <c r="L46" s="49" t="str">
        <f>"137,0711"</f>
        <v>137,0711</v>
      </c>
      <c r="M46" s="49"/>
    </row>
    <row r="47" spans="1:13">
      <c r="A47" s="49" t="s">
        <v>776</v>
      </c>
      <c r="B47" s="49" t="s">
        <v>777</v>
      </c>
      <c r="C47" s="49" t="s">
        <v>216</v>
      </c>
      <c r="D47" s="49" t="str">
        <f>"0,6157"</f>
        <v>0,6157</v>
      </c>
      <c r="E47" s="49" t="s">
        <v>17</v>
      </c>
      <c r="F47" s="49" t="s">
        <v>148</v>
      </c>
      <c r="G47" s="49" t="s">
        <v>69</v>
      </c>
      <c r="H47" s="49" t="s">
        <v>75</v>
      </c>
      <c r="I47" s="50" t="s">
        <v>70</v>
      </c>
      <c r="J47" s="50"/>
      <c r="K47" s="49">
        <v>170</v>
      </c>
      <c r="L47" s="49" t="str">
        <f>"104,6690"</f>
        <v>104,6690</v>
      </c>
      <c r="M47" s="49"/>
    </row>
    <row r="48" spans="1:13">
      <c r="A48" s="49" t="s">
        <v>778</v>
      </c>
      <c r="B48" s="49" t="s">
        <v>779</v>
      </c>
      <c r="C48" s="49" t="s">
        <v>780</v>
      </c>
      <c r="D48" s="49" t="str">
        <f>"0,6308"</f>
        <v>0,6308</v>
      </c>
      <c r="E48" s="49" t="s">
        <v>17</v>
      </c>
      <c r="F48" s="49" t="s">
        <v>148</v>
      </c>
      <c r="G48" s="49" t="s">
        <v>75</v>
      </c>
      <c r="H48" s="49" t="s">
        <v>238</v>
      </c>
      <c r="I48" s="49" t="s">
        <v>30</v>
      </c>
      <c r="J48" s="50"/>
      <c r="K48" s="49">
        <v>200</v>
      </c>
      <c r="L48" s="49" t="str">
        <f>"126,1638"</f>
        <v>126,1638</v>
      </c>
      <c r="M48" s="49"/>
    </row>
    <row r="49" spans="1:13">
      <c r="A49" s="47" t="s">
        <v>781</v>
      </c>
      <c r="B49" s="47" t="s">
        <v>782</v>
      </c>
      <c r="C49" s="47" t="s">
        <v>524</v>
      </c>
      <c r="D49" s="47" t="str">
        <f>"0,6622"</f>
        <v>0,6622</v>
      </c>
      <c r="E49" s="47" t="s">
        <v>17</v>
      </c>
      <c r="F49" s="47" t="s">
        <v>783</v>
      </c>
      <c r="G49" s="47" t="s">
        <v>238</v>
      </c>
      <c r="H49" s="47" t="s">
        <v>144</v>
      </c>
      <c r="I49" s="47" t="s">
        <v>752</v>
      </c>
      <c r="J49" s="48"/>
      <c r="K49" s="47">
        <v>222.5</v>
      </c>
      <c r="L49" s="47" t="str">
        <f>"147,3447"</f>
        <v>147,3447</v>
      </c>
      <c r="M49" s="47"/>
    </row>
    <row r="51" spans="1:13" ht="15">
      <c r="A51" s="52" t="s">
        <v>53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</row>
    <row r="52" spans="1:13">
      <c r="A52" s="35" t="s">
        <v>561</v>
      </c>
      <c r="B52" s="35" t="s">
        <v>562</v>
      </c>
      <c r="C52" s="35" t="s">
        <v>563</v>
      </c>
      <c r="D52" s="35" t="str">
        <f>"0,7361"</f>
        <v>0,7361</v>
      </c>
      <c r="E52" s="35" t="s">
        <v>17</v>
      </c>
      <c r="F52" s="35" t="s">
        <v>511</v>
      </c>
      <c r="G52" s="35" t="s">
        <v>76</v>
      </c>
      <c r="H52" s="35" t="s">
        <v>194</v>
      </c>
      <c r="I52" s="35" t="s">
        <v>30</v>
      </c>
      <c r="J52" s="36"/>
      <c r="K52" s="35">
        <v>200</v>
      </c>
      <c r="L52" s="35" t="str">
        <f>"147,2274"</f>
        <v>147,2274</v>
      </c>
      <c r="M52" s="35"/>
    </row>
    <row r="54" spans="1:13" ht="15">
      <c r="A54" s="52" t="s">
        <v>84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</row>
    <row r="55" spans="1:13">
      <c r="A55" s="45" t="s">
        <v>478</v>
      </c>
      <c r="B55" s="45" t="s">
        <v>784</v>
      </c>
      <c r="C55" s="45" t="s">
        <v>785</v>
      </c>
      <c r="D55" s="45" t="str">
        <f>"0,5664"</f>
        <v>0,5664</v>
      </c>
      <c r="E55" s="45" t="s">
        <v>476</v>
      </c>
      <c r="F55" s="45" t="s">
        <v>477</v>
      </c>
      <c r="G55" s="45" t="s">
        <v>41</v>
      </c>
      <c r="H55" s="46" t="s">
        <v>42</v>
      </c>
      <c r="I55" s="46" t="s">
        <v>42</v>
      </c>
      <c r="J55" s="46"/>
      <c r="K55" s="45">
        <v>240</v>
      </c>
      <c r="L55" s="45" t="str">
        <f>"135,9480"</f>
        <v>135,9480</v>
      </c>
      <c r="M55" s="45"/>
    </row>
    <row r="56" spans="1:13">
      <c r="A56" s="47" t="s">
        <v>786</v>
      </c>
      <c r="B56" s="47" t="s">
        <v>787</v>
      </c>
      <c r="C56" s="47" t="s">
        <v>788</v>
      </c>
      <c r="D56" s="47" t="str">
        <f>"0,5882"</f>
        <v>0,5882</v>
      </c>
      <c r="E56" s="47" t="s">
        <v>17</v>
      </c>
      <c r="F56" s="47" t="s">
        <v>148</v>
      </c>
      <c r="G56" s="47" t="s">
        <v>31</v>
      </c>
      <c r="H56" s="47" t="s">
        <v>32</v>
      </c>
      <c r="I56" s="48" t="s">
        <v>708</v>
      </c>
      <c r="J56" s="48"/>
      <c r="K56" s="47">
        <v>230</v>
      </c>
      <c r="L56" s="47" t="str">
        <f>"135,2860"</f>
        <v>135,2860</v>
      </c>
      <c r="M56" s="47"/>
    </row>
    <row r="58" spans="1:13" ht="15">
      <c r="A58" s="52" t="s">
        <v>270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</row>
    <row r="59" spans="1:13">
      <c r="A59" s="35" t="s">
        <v>789</v>
      </c>
      <c r="B59" s="35" t="s">
        <v>790</v>
      </c>
      <c r="C59" s="35" t="s">
        <v>791</v>
      </c>
      <c r="D59" s="35" t="str">
        <f>"0,5393"</f>
        <v>0,5393</v>
      </c>
      <c r="E59" s="35" t="s">
        <v>17</v>
      </c>
      <c r="F59" s="35" t="s">
        <v>792</v>
      </c>
      <c r="G59" s="35" t="s">
        <v>36</v>
      </c>
      <c r="H59" s="35" t="s">
        <v>58</v>
      </c>
      <c r="I59" s="36" t="s">
        <v>793</v>
      </c>
      <c r="J59" s="36"/>
      <c r="K59" s="35">
        <v>280</v>
      </c>
      <c r="L59" s="35" t="str">
        <f>"151,0096"</f>
        <v>151,0096</v>
      </c>
      <c r="M59" s="35"/>
    </row>
    <row r="61" spans="1:13" ht="15">
      <c r="E61" s="37" t="s">
        <v>93</v>
      </c>
    </row>
    <row r="62" spans="1:13" ht="15">
      <c r="E62" s="37" t="s">
        <v>94</v>
      </c>
    </row>
    <row r="63" spans="1:13" ht="15">
      <c r="E63" s="37" t="s">
        <v>95</v>
      </c>
    </row>
    <row r="64" spans="1:13">
      <c r="E64" s="34" t="s">
        <v>96</v>
      </c>
    </row>
    <row r="65" spans="1:5">
      <c r="E65" s="34" t="s">
        <v>97</v>
      </c>
    </row>
    <row r="66" spans="1:5">
      <c r="E66" s="34" t="s">
        <v>98</v>
      </c>
    </row>
    <row r="69" spans="1:5" ht="18">
      <c r="A69" s="38" t="s">
        <v>99</v>
      </c>
      <c r="B69" s="38"/>
    </row>
    <row r="70" spans="1:5" ht="15">
      <c r="A70" s="39" t="s">
        <v>100</v>
      </c>
      <c r="B70" s="39"/>
    </row>
    <row r="71" spans="1:5" ht="14.25">
      <c r="A71" s="41" t="s">
        <v>276</v>
      </c>
      <c r="B71" s="42"/>
    </row>
    <row r="72" spans="1:5" ht="15">
      <c r="A72" s="43" t="s">
        <v>0</v>
      </c>
      <c r="B72" s="43" t="s">
        <v>102</v>
      </c>
      <c r="C72" s="43" t="s">
        <v>103</v>
      </c>
      <c r="D72" s="43" t="s">
        <v>7</v>
      </c>
      <c r="E72" s="43" t="s">
        <v>104</v>
      </c>
    </row>
    <row r="73" spans="1:5">
      <c r="A73" s="40" t="s">
        <v>729</v>
      </c>
      <c r="B73" s="34" t="s">
        <v>277</v>
      </c>
      <c r="C73" s="34" t="s">
        <v>285</v>
      </c>
      <c r="D73" s="34" t="s">
        <v>24</v>
      </c>
      <c r="E73" s="44" t="s">
        <v>794</v>
      </c>
    </row>
    <row r="74" spans="1:5">
      <c r="A74" s="40" t="s">
        <v>735</v>
      </c>
      <c r="B74" s="34" t="s">
        <v>277</v>
      </c>
      <c r="C74" s="34" t="s">
        <v>106</v>
      </c>
      <c r="D74" s="34" t="s">
        <v>187</v>
      </c>
      <c r="E74" s="44" t="s">
        <v>795</v>
      </c>
    </row>
    <row r="76" spans="1:5" ht="14.25">
      <c r="A76" s="41" t="s">
        <v>283</v>
      </c>
      <c r="B76" s="42"/>
    </row>
    <row r="77" spans="1:5" ht="15">
      <c r="A77" s="43" t="s">
        <v>0</v>
      </c>
      <c r="B77" s="43" t="s">
        <v>102</v>
      </c>
      <c r="C77" s="43" t="s">
        <v>103</v>
      </c>
      <c r="D77" s="43" t="s">
        <v>7</v>
      </c>
      <c r="E77" s="43" t="s">
        <v>104</v>
      </c>
    </row>
    <row r="78" spans="1:5">
      <c r="A78" s="40" t="s">
        <v>732</v>
      </c>
      <c r="B78" s="34" t="s">
        <v>284</v>
      </c>
      <c r="C78" s="34" t="s">
        <v>285</v>
      </c>
      <c r="D78" s="34" t="s">
        <v>135</v>
      </c>
      <c r="E78" s="44" t="s">
        <v>796</v>
      </c>
    </row>
    <row r="80" spans="1:5" ht="14.25">
      <c r="A80" s="41" t="s">
        <v>110</v>
      </c>
      <c r="B80" s="42"/>
    </row>
    <row r="81" spans="1:5" ht="15">
      <c r="A81" s="43" t="s">
        <v>0</v>
      </c>
      <c r="B81" s="43" t="s">
        <v>102</v>
      </c>
      <c r="C81" s="43" t="s">
        <v>103</v>
      </c>
      <c r="D81" s="43" t="s">
        <v>7</v>
      </c>
      <c r="E81" s="43" t="s">
        <v>104</v>
      </c>
    </row>
    <row r="82" spans="1:5">
      <c r="A82" s="40" t="s">
        <v>711</v>
      </c>
      <c r="B82" s="34" t="s">
        <v>110</v>
      </c>
      <c r="C82" s="34" t="s">
        <v>274</v>
      </c>
      <c r="D82" s="34" t="s">
        <v>43</v>
      </c>
      <c r="E82" s="44" t="s">
        <v>797</v>
      </c>
    </row>
    <row r="83" spans="1:5">
      <c r="A83" s="40" t="s">
        <v>738</v>
      </c>
      <c r="B83" s="34" t="s">
        <v>110</v>
      </c>
      <c r="C83" s="34" t="s">
        <v>106</v>
      </c>
      <c r="D83" s="34" t="s">
        <v>339</v>
      </c>
      <c r="E83" s="44" t="s">
        <v>798</v>
      </c>
    </row>
    <row r="84" spans="1:5">
      <c r="A84" s="40" t="s">
        <v>716</v>
      </c>
      <c r="B84" s="34" t="s">
        <v>110</v>
      </c>
      <c r="C84" s="34" t="s">
        <v>274</v>
      </c>
      <c r="D84" s="34" t="s">
        <v>316</v>
      </c>
      <c r="E84" s="44" t="s">
        <v>799</v>
      </c>
    </row>
    <row r="85" spans="1:5">
      <c r="A85" s="40" t="s">
        <v>740</v>
      </c>
      <c r="B85" s="34" t="s">
        <v>110</v>
      </c>
      <c r="C85" s="34" t="s">
        <v>612</v>
      </c>
      <c r="D85" s="34" t="s">
        <v>135</v>
      </c>
      <c r="E85" s="44" t="s">
        <v>800</v>
      </c>
    </row>
    <row r="86" spans="1:5">
      <c r="A86" s="40" t="s">
        <v>726</v>
      </c>
      <c r="B86" s="34" t="s">
        <v>110</v>
      </c>
      <c r="C86" s="34" t="s">
        <v>801</v>
      </c>
      <c r="D86" s="34" t="s">
        <v>186</v>
      </c>
      <c r="E86" s="44" t="s">
        <v>802</v>
      </c>
    </row>
    <row r="88" spans="1:5" ht="14.25">
      <c r="A88" s="41" t="s">
        <v>101</v>
      </c>
      <c r="B88" s="42"/>
    </row>
    <row r="89" spans="1:5" ht="15">
      <c r="A89" s="43" t="s">
        <v>0</v>
      </c>
      <c r="B89" s="43" t="s">
        <v>102</v>
      </c>
      <c r="C89" s="43" t="s">
        <v>103</v>
      </c>
      <c r="D89" s="43" t="s">
        <v>7</v>
      </c>
      <c r="E89" s="43" t="s">
        <v>104</v>
      </c>
    </row>
    <row r="90" spans="1:5">
      <c r="A90" s="40" t="s">
        <v>722</v>
      </c>
      <c r="B90" s="34" t="s">
        <v>305</v>
      </c>
      <c r="C90" s="34" t="s">
        <v>280</v>
      </c>
      <c r="D90" s="34" t="s">
        <v>324</v>
      </c>
      <c r="E90" s="44" t="s">
        <v>803</v>
      </c>
    </row>
    <row r="91" spans="1:5">
      <c r="A91" s="40" t="s">
        <v>720</v>
      </c>
      <c r="B91" s="34" t="s">
        <v>305</v>
      </c>
      <c r="C91" s="34" t="s">
        <v>280</v>
      </c>
      <c r="D91" s="34" t="s">
        <v>324</v>
      </c>
      <c r="E91" s="44" t="s">
        <v>804</v>
      </c>
    </row>
    <row r="94" spans="1:5" ht="15">
      <c r="A94" s="39" t="s">
        <v>109</v>
      </c>
      <c r="B94" s="39"/>
    </row>
    <row r="95" spans="1:5" ht="14.25">
      <c r="A95" s="41" t="s">
        <v>276</v>
      </c>
      <c r="B95" s="42"/>
    </row>
    <row r="96" spans="1:5" ht="15">
      <c r="A96" s="43" t="s">
        <v>0</v>
      </c>
      <c r="B96" s="43" t="s">
        <v>102</v>
      </c>
      <c r="C96" s="43" t="s">
        <v>103</v>
      </c>
      <c r="D96" s="43" t="s">
        <v>7</v>
      </c>
      <c r="E96" s="43" t="s">
        <v>104</v>
      </c>
    </row>
    <row r="97" spans="1:5">
      <c r="A97" s="40" t="s">
        <v>746</v>
      </c>
      <c r="B97" s="34" t="s">
        <v>615</v>
      </c>
      <c r="C97" s="34" t="s">
        <v>106</v>
      </c>
      <c r="D97" s="34" t="s">
        <v>194</v>
      </c>
      <c r="E97" s="44" t="s">
        <v>805</v>
      </c>
    </row>
    <row r="99" spans="1:5" ht="14.25">
      <c r="A99" s="41" t="s">
        <v>283</v>
      </c>
      <c r="B99" s="42"/>
    </row>
    <row r="100" spans="1:5" ht="15">
      <c r="A100" s="43" t="s">
        <v>0</v>
      </c>
      <c r="B100" s="43" t="s">
        <v>102</v>
      </c>
      <c r="C100" s="43" t="s">
        <v>103</v>
      </c>
      <c r="D100" s="43" t="s">
        <v>7</v>
      </c>
      <c r="E100" s="43" t="s">
        <v>104</v>
      </c>
    </row>
    <row r="101" spans="1:5">
      <c r="A101" s="40" t="s">
        <v>753</v>
      </c>
      <c r="B101" s="34" t="s">
        <v>284</v>
      </c>
      <c r="C101" s="34" t="s">
        <v>151</v>
      </c>
      <c r="D101" s="34" t="s">
        <v>107</v>
      </c>
      <c r="E101" s="44" t="s">
        <v>806</v>
      </c>
    </row>
    <row r="103" spans="1:5" ht="14.25">
      <c r="A103" s="41" t="s">
        <v>110</v>
      </c>
      <c r="B103" s="42"/>
    </row>
    <row r="104" spans="1:5" ht="15">
      <c r="A104" s="43" t="s">
        <v>0</v>
      </c>
      <c r="B104" s="43" t="s">
        <v>102</v>
      </c>
      <c r="C104" s="43" t="s">
        <v>103</v>
      </c>
      <c r="D104" s="43" t="s">
        <v>7</v>
      </c>
      <c r="E104" s="43" t="s">
        <v>104</v>
      </c>
    </row>
    <row r="105" spans="1:5">
      <c r="A105" s="40" t="s">
        <v>768</v>
      </c>
      <c r="B105" s="34" t="s">
        <v>110</v>
      </c>
      <c r="C105" s="34" t="s">
        <v>119</v>
      </c>
      <c r="D105" s="34" t="s">
        <v>772</v>
      </c>
      <c r="E105" s="44" t="s">
        <v>807</v>
      </c>
    </row>
    <row r="106" spans="1:5">
      <c r="A106" s="40" t="s">
        <v>789</v>
      </c>
      <c r="B106" s="34" t="s">
        <v>110</v>
      </c>
      <c r="C106" s="34" t="s">
        <v>293</v>
      </c>
      <c r="D106" s="34" t="s">
        <v>58</v>
      </c>
      <c r="E106" s="44" t="s">
        <v>808</v>
      </c>
    </row>
    <row r="107" spans="1:5">
      <c r="A107" s="40" t="s">
        <v>472</v>
      </c>
      <c r="B107" s="34" t="s">
        <v>110</v>
      </c>
      <c r="C107" s="34" t="s">
        <v>106</v>
      </c>
      <c r="D107" s="34" t="s">
        <v>268</v>
      </c>
      <c r="E107" s="44" t="s">
        <v>809</v>
      </c>
    </row>
    <row r="108" spans="1:5">
      <c r="A108" s="40" t="s">
        <v>774</v>
      </c>
      <c r="B108" s="34" t="s">
        <v>110</v>
      </c>
      <c r="C108" s="34" t="s">
        <v>119</v>
      </c>
      <c r="D108" s="34" t="s">
        <v>752</v>
      </c>
      <c r="E108" s="44" t="s">
        <v>810</v>
      </c>
    </row>
    <row r="109" spans="1:5">
      <c r="A109" s="40" t="s">
        <v>478</v>
      </c>
      <c r="B109" s="34" t="s">
        <v>110</v>
      </c>
      <c r="C109" s="34" t="s">
        <v>111</v>
      </c>
      <c r="D109" s="34" t="s">
        <v>41</v>
      </c>
      <c r="E109" s="44" t="s">
        <v>811</v>
      </c>
    </row>
    <row r="110" spans="1:5">
      <c r="A110" s="40" t="s">
        <v>483</v>
      </c>
      <c r="B110" s="34" t="s">
        <v>110</v>
      </c>
      <c r="C110" s="34" t="s">
        <v>106</v>
      </c>
      <c r="D110" s="34" t="s">
        <v>194</v>
      </c>
      <c r="E110" s="44" t="s">
        <v>812</v>
      </c>
    </row>
    <row r="111" spans="1:5">
      <c r="A111" s="40" t="s">
        <v>756</v>
      </c>
      <c r="B111" s="34" t="s">
        <v>110</v>
      </c>
      <c r="C111" s="34" t="s">
        <v>151</v>
      </c>
      <c r="D111" s="34" t="s">
        <v>268</v>
      </c>
      <c r="E111" s="44" t="s">
        <v>813</v>
      </c>
    </row>
    <row r="112" spans="1:5">
      <c r="A112" s="40" t="s">
        <v>759</v>
      </c>
      <c r="B112" s="34" t="s">
        <v>110</v>
      </c>
      <c r="C112" s="34" t="s">
        <v>151</v>
      </c>
      <c r="D112" s="34" t="s">
        <v>30</v>
      </c>
      <c r="E112" s="44" t="s">
        <v>814</v>
      </c>
    </row>
    <row r="113" spans="1:5">
      <c r="A113" s="40" t="s">
        <v>776</v>
      </c>
      <c r="B113" s="34" t="s">
        <v>110</v>
      </c>
      <c r="C113" s="34" t="s">
        <v>119</v>
      </c>
      <c r="D113" s="34" t="s">
        <v>75</v>
      </c>
      <c r="E113" s="44" t="s">
        <v>815</v>
      </c>
    </row>
    <row r="115" spans="1:5" ht="14.25">
      <c r="A115" s="41" t="s">
        <v>101</v>
      </c>
      <c r="B115" s="42"/>
    </row>
    <row r="116" spans="1:5" ht="15">
      <c r="A116" s="43" t="s">
        <v>0</v>
      </c>
      <c r="B116" s="43" t="s">
        <v>102</v>
      </c>
      <c r="C116" s="43" t="s">
        <v>103</v>
      </c>
      <c r="D116" s="43" t="s">
        <v>7</v>
      </c>
      <c r="E116" s="43" t="s">
        <v>104</v>
      </c>
    </row>
    <row r="117" spans="1:5">
      <c r="A117" s="40" t="s">
        <v>764</v>
      </c>
      <c r="B117" s="34" t="s">
        <v>126</v>
      </c>
      <c r="C117" s="34" t="s">
        <v>151</v>
      </c>
      <c r="D117" s="34" t="s">
        <v>752</v>
      </c>
      <c r="E117" s="44" t="s">
        <v>816</v>
      </c>
    </row>
    <row r="118" spans="1:5">
      <c r="A118" s="40" t="s">
        <v>743</v>
      </c>
      <c r="B118" s="34" t="s">
        <v>611</v>
      </c>
      <c r="C118" s="34" t="s">
        <v>285</v>
      </c>
      <c r="D118" s="34" t="s">
        <v>194</v>
      </c>
      <c r="E118" s="44" t="s">
        <v>817</v>
      </c>
    </row>
    <row r="119" spans="1:5">
      <c r="A119" s="40" t="s">
        <v>750</v>
      </c>
      <c r="B119" s="34" t="s">
        <v>305</v>
      </c>
      <c r="C119" s="34" t="s">
        <v>106</v>
      </c>
      <c r="D119" s="34" t="s">
        <v>752</v>
      </c>
      <c r="E119" s="44" t="s">
        <v>818</v>
      </c>
    </row>
    <row r="120" spans="1:5">
      <c r="A120" s="40" t="s">
        <v>781</v>
      </c>
      <c r="B120" s="34" t="s">
        <v>105</v>
      </c>
      <c r="C120" s="34" t="s">
        <v>119</v>
      </c>
      <c r="D120" s="34" t="s">
        <v>752</v>
      </c>
      <c r="E120" s="44" t="s">
        <v>819</v>
      </c>
    </row>
    <row r="121" spans="1:5">
      <c r="A121" s="40" t="s">
        <v>561</v>
      </c>
      <c r="B121" s="34" t="s">
        <v>300</v>
      </c>
      <c r="C121" s="34" t="s">
        <v>114</v>
      </c>
      <c r="D121" s="34" t="s">
        <v>30</v>
      </c>
      <c r="E121" s="44" t="s">
        <v>820</v>
      </c>
    </row>
    <row r="122" spans="1:5">
      <c r="A122" s="40" t="s">
        <v>762</v>
      </c>
      <c r="B122" s="34" t="s">
        <v>611</v>
      </c>
      <c r="C122" s="34" t="s">
        <v>151</v>
      </c>
      <c r="D122" s="34" t="s">
        <v>76</v>
      </c>
      <c r="E122" s="44" t="s">
        <v>821</v>
      </c>
    </row>
    <row r="123" spans="1:5">
      <c r="A123" s="40" t="s">
        <v>786</v>
      </c>
      <c r="B123" s="34" t="s">
        <v>305</v>
      </c>
      <c r="C123" s="34" t="s">
        <v>111</v>
      </c>
      <c r="D123" s="34" t="s">
        <v>32</v>
      </c>
      <c r="E123" s="44" t="s">
        <v>822</v>
      </c>
    </row>
    <row r="124" spans="1:5">
      <c r="A124" s="40" t="s">
        <v>778</v>
      </c>
      <c r="B124" s="34" t="s">
        <v>305</v>
      </c>
      <c r="C124" s="34" t="s">
        <v>119</v>
      </c>
      <c r="D124" s="34" t="s">
        <v>30</v>
      </c>
      <c r="E124" s="44" t="s">
        <v>823</v>
      </c>
    </row>
  </sheetData>
  <mergeCells count="24">
    <mergeCell ref="A13:L13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9:L9"/>
    <mergeCell ref="A44:L44"/>
    <mergeCell ref="A51:L51"/>
    <mergeCell ref="A54:L54"/>
    <mergeCell ref="A58:L58"/>
    <mergeCell ref="A16:L16"/>
    <mergeCell ref="A20:L20"/>
    <mergeCell ref="A24:L24"/>
    <mergeCell ref="A27:L27"/>
    <mergeCell ref="A30:L30"/>
    <mergeCell ref="A37:L3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M18" sqref="M18"/>
    </sheetView>
  </sheetViews>
  <sheetFormatPr defaultRowHeight="12.75"/>
  <cols>
    <col min="1" max="1" width="27" style="34" bestFit="1" customWidth="1"/>
    <col min="2" max="2" width="19.140625" style="34" bestFit="1" customWidth="1"/>
    <col min="3" max="3" width="7.7109375" style="34" bestFit="1" customWidth="1"/>
    <col min="4" max="4" width="6.85546875" style="34" bestFit="1" customWidth="1"/>
    <col min="5" max="5" width="17.28515625" style="34" bestFit="1" customWidth="1"/>
    <col min="6" max="6" width="7.28515625" style="34" bestFit="1" customWidth="1"/>
    <col min="7" max="9" width="5.5703125" style="34" bestFit="1" customWidth="1"/>
    <col min="10" max="10" width="4.85546875" style="34" bestFit="1" customWidth="1"/>
    <col min="11" max="11" width="6.7109375" style="34" bestFit="1" customWidth="1"/>
    <col min="12" max="12" width="8.5703125" style="34" bestFit="1" customWidth="1"/>
    <col min="13" max="13" width="7.42578125" style="34" bestFit="1" customWidth="1"/>
  </cols>
  <sheetData>
    <row r="1" spans="1:13" s="1" customFormat="1" ht="15" customHeight="1">
      <c r="A1" s="53" t="s">
        <v>852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1" customFormat="1" ht="13.5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7" customFormat="1" ht="12.75" customHeight="1">
      <c r="A3" s="59" t="s">
        <v>0</v>
      </c>
      <c r="B3" s="61" t="s">
        <v>12</v>
      </c>
      <c r="C3" s="61" t="s">
        <v>11</v>
      </c>
      <c r="D3" s="63" t="s">
        <v>1</v>
      </c>
      <c r="E3" s="63" t="s">
        <v>2</v>
      </c>
      <c r="F3" s="64" t="s">
        <v>3</v>
      </c>
      <c r="G3" s="59" t="s">
        <v>6</v>
      </c>
      <c r="H3" s="63"/>
      <c r="I3" s="63"/>
      <c r="J3" s="66"/>
      <c r="K3" s="67" t="s">
        <v>7</v>
      </c>
      <c r="L3" s="63" t="s">
        <v>9</v>
      </c>
      <c r="M3" s="66" t="s">
        <v>8</v>
      </c>
    </row>
    <row r="4" spans="1:13" s="7" customFormat="1" ht="23.25" customHeight="1" thickBot="1">
      <c r="A4" s="60"/>
      <c r="B4" s="62"/>
      <c r="C4" s="62"/>
      <c r="D4" s="62"/>
      <c r="E4" s="62"/>
      <c r="F4" s="65"/>
      <c r="G4" s="3">
        <v>1</v>
      </c>
      <c r="H4" s="2">
        <v>2</v>
      </c>
      <c r="I4" s="2">
        <v>3</v>
      </c>
      <c r="J4" s="4" t="s">
        <v>10</v>
      </c>
      <c r="K4" s="68"/>
      <c r="L4" s="62"/>
      <c r="M4" s="69"/>
    </row>
    <row r="5" spans="1:13" ht="15">
      <c r="A5" s="70" t="s">
        <v>53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3">
      <c r="A6" s="35" t="s">
        <v>824</v>
      </c>
      <c r="B6" s="35" t="s">
        <v>825</v>
      </c>
      <c r="C6" s="35" t="s">
        <v>826</v>
      </c>
      <c r="D6" s="35" t="str">
        <f>"0,5871"</f>
        <v>0,5871</v>
      </c>
      <c r="E6" s="35" t="s">
        <v>17</v>
      </c>
      <c r="F6" s="35" t="s">
        <v>148</v>
      </c>
      <c r="G6" s="35" t="s">
        <v>45</v>
      </c>
      <c r="H6" s="35" t="s">
        <v>386</v>
      </c>
      <c r="I6" s="35" t="s">
        <v>42</v>
      </c>
      <c r="J6" s="36"/>
      <c r="K6" s="35">
        <v>250</v>
      </c>
      <c r="L6" s="35" t="str">
        <f>"146,7875"</f>
        <v>146,7875</v>
      </c>
      <c r="M6" s="35"/>
    </row>
    <row r="8" spans="1:13" ht="15">
      <c r="E8" s="37" t="s">
        <v>93</v>
      </c>
    </row>
    <row r="9" spans="1:13" ht="15">
      <c r="E9" s="37" t="s">
        <v>94</v>
      </c>
    </row>
    <row r="10" spans="1:13" ht="15">
      <c r="E10" s="37" t="s">
        <v>95</v>
      </c>
    </row>
    <row r="11" spans="1:13">
      <c r="E11" s="34" t="s">
        <v>96</v>
      </c>
    </row>
    <row r="12" spans="1:13">
      <c r="E12" s="34" t="s">
        <v>97</v>
      </c>
    </row>
    <row r="13" spans="1:13">
      <c r="E13" s="34" t="s">
        <v>98</v>
      </c>
    </row>
    <row r="16" spans="1:13" ht="18">
      <c r="A16" s="38" t="s">
        <v>99</v>
      </c>
      <c r="B16" s="38"/>
    </row>
    <row r="17" spans="1:5" ht="15">
      <c r="A17" s="39" t="s">
        <v>109</v>
      </c>
      <c r="B17" s="39"/>
    </row>
    <row r="18" spans="1:5" ht="14.25">
      <c r="A18" s="41" t="s">
        <v>110</v>
      </c>
      <c r="B18" s="42"/>
    </row>
    <row r="19" spans="1:5" ht="15">
      <c r="A19" s="43" t="s">
        <v>0</v>
      </c>
      <c r="B19" s="43" t="s">
        <v>102</v>
      </c>
      <c r="C19" s="43" t="s">
        <v>103</v>
      </c>
      <c r="D19" s="43" t="s">
        <v>7</v>
      </c>
      <c r="E19" s="43" t="s">
        <v>104</v>
      </c>
    </row>
    <row r="20" spans="1:5">
      <c r="A20" s="40" t="s">
        <v>824</v>
      </c>
      <c r="B20" s="34" t="s">
        <v>110</v>
      </c>
      <c r="C20" s="34" t="s">
        <v>114</v>
      </c>
      <c r="D20" s="34" t="s">
        <v>42</v>
      </c>
      <c r="E20" s="44" t="s">
        <v>827</v>
      </c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AWPC Powerlifting Classic</vt:lpstr>
      <vt:lpstr>AWPC raw powerlifting</vt:lpstr>
      <vt:lpstr>AWPC raw benchpress</vt:lpstr>
      <vt:lpstr>AWPC single ply benchpress</vt:lpstr>
      <vt:lpstr>AWPC soft benchpress</vt:lpstr>
      <vt:lpstr>AWPC Folk BP 1_2 bw</vt:lpstr>
      <vt:lpstr>AWPC Folk BP 1 bw</vt:lpstr>
      <vt:lpstr>AWPC raw deadlift</vt:lpstr>
      <vt:lpstr>AWPC single ply deadlift</vt:lpstr>
      <vt:lpstr>AWPC multy ply deadlift</vt:lpstr>
      <vt:lpstr>WPC Powerlifting Classic</vt:lpstr>
      <vt:lpstr>WPC raw powerlifting</vt:lpstr>
      <vt:lpstr>WPC raw benchpress</vt:lpstr>
      <vt:lpstr>WPC single ply benchpress</vt:lpstr>
      <vt:lpstr>WPC multi ply benchpress</vt:lpstr>
      <vt:lpstr>WPC soft benchpress</vt:lpstr>
      <vt:lpstr>WPC Folk BP 1_2 bw</vt:lpstr>
      <vt:lpstr>WPC Folk BP 1 bw</vt:lpstr>
      <vt:lpstr>WPC raw deadlift</vt:lpstr>
      <vt:lpstr>WPC single ply deadlift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Term_0</cp:lastModifiedBy>
  <cp:lastPrinted>2008-02-22T21:19:54Z</cp:lastPrinted>
  <dcterms:created xsi:type="dcterms:W3CDTF">2002-06-16T13:36:44Z</dcterms:created>
  <dcterms:modified xsi:type="dcterms:W3CDTF">2018-06-04T11:30:40Z</dcterms:modified>
</cp:coreProperties>
</file>