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5" windowWidth="11340" windowHeight="9690"/>
  </bookViews>
  <sheets>
    <sheet name="AWPC std.soft eq. BP" sheetId="36" r:id="rId1"/>
    <sheet name="WPC std.soft eq. BP" sheetId="34" r:id="rId2"/>
    <sheet name="AWPA m.ply PL" sheetId="22" r:id="rId3"/>
    <sheet name="AWPA raw PL" sheetId="20" r:id="rId4"/>
    <sheet name="AWPA raw BP" sheetId="17" r:id="rId5"/>
    <sheet name="AWPA m.ply DL" sheetId="16" r:id="rId6"/>
    <sheet name="AWPA s.ply DL" sheetId="15" r:id="rId7"/>
    <sheet name="AWPA raw DL" sheetId="14" r:id="rId8"/>
    <sheet name="WPA raw PL" sheetId="11" r:id="rId9"/>
    <sheet name="WPA raw BP" sheetId="8" r:id="rId10"/>
    <sheet name="WPA m.ply DL" sheetId="7" r:id="rId11"/>
    <sheet name="WPA s.ply DL" sheetId="6" r:id="rId12"/>
    <sheet name="WPA raw DL" sheetId="5" r:id="rId13"/>
    <sheet name="Multy-repeat BP AWPC 1_2 bw." sheetId="37" r:id="rId14"/>
    <sheet name="Multy-repeat BP AWPC 1 bw." sheetId="38" r:id="rId15"/>
    <sheet name="Multy-repeat BP WPC 1 bw." sheetId="39" r:id="rId16"/>
  </sheets>
  <definedNames>
    <definedName name="_FilterDatabase" localSheetId="12" hidden="1">'WPA raw DL'!$A$1:$K$3</definedName>
  </definedNames>
  <calcPr calcId="125725" refMode="R1C1"/>
</workbook>
</file>

<file path=xl/calcChain.xml><?xml version="1.0" encoding="utf-8"?>
<calcChain xmlns="http://schemas.openxmlformats.org/spreadsheetml/2006/main">
  <c r="D6" i="39"/>
  <c r="I6"/>
  <c r="J6"/>
  <c r="D9"/>
  <c r="I9"/>
  <c r="J9"/>
  <c r="D10"/>
  <c r="I10"/>
  <c r="J10"/>
  <c r="D13"/>
  <c r="I13"/>
  <c r="J13"/>
  <c r="D16"/>
  <c r="I16"/>
  <c r="J16"/>
  <c r="D17"/>
  <c r="I17"/>
  <c r="J17"/>
  <c r="D20"/>
  <c r="I20"/>
  <c r="J20"/>
  <c r="D21"/>
  <c r="I21"/>
  <c r="J21"/>
  <c r="D24"/>
  <c r="I24"/>
  <c r="J24"/>
  <c r="J24" i="38"/>
  <c r="I24"/>
  <c r="D24"/>
  <c r="J21"/>
  <c r="I21"/>
  <c r="D21"/>
  <c r="J20"/>
  <c r="I20"/>
  <c r="D20"/>
  <c r="J19"/>
  <c r="I19"/>
  <c r="D19"/>
  <c r="J18"/>
  <c r="I18"/>
  <c r="D18"/>
  <c r="J15"/>
  <c r="I15"/>
  <c r="D15"/>
  <c r="J14"/>
  <c r="I14"/>
  <c r="D14"/>
  <c r="J11"/>
  <c r="I11"/>
  <c r="D11"/>
  <c r="J10"/>
  <c r="I10"/>
  <c r="D10"/>
  <c r="J9"/>
  <c r="I9"/>
  <c r="D9"/>
  <c r="J6"/>
  <c r="I6"/>
  <c r="D6"/>
  <c r="J9" i="37"/>
  <c r="I9"/>
  <c r="D9"/>
  <c r="J6"/>
  <c r="I6"/>
  <c r="D6"/>
  <c r="S6" i="22"/>
  <c r="T6"/>
  <c r="L25" i="36"/>
  <c r="K25"/>
  <c r="D25"/>
  <c r="L24"/>
  <c r="K24"/>
  <c r="D24"/>
  <c r="L23"/>
  <c r="K23"/>
  <c r="D23"/>
  <c r="L18"/>
  <c r="K18"/>
  <c r="D18"/>
  <c r="L17"/>
  <c r="K17"/>
  <c r="D17"/>
  <c r="L14"/>
  <c r="K14"/>
  <c r="D14"/>
  <c r="L13"/>
  <c r="K13"/>
  <c r="D13"/>
  <c r="L12"/>
  <c r="K12"/>
  <c r="D12"/>
  <c r="L9"/>
  <c r="K9"/>
  <c r="D9"/>
  <c r="L6"/>
  <c r="K6"/>
  <c r="D6"/>
  <c r="L17" i="34"/>
  <c r="K17"/>
  <c r="D17"/>
  <c r="L16"/>
  <c r="K16"/>
  <c r="D16"/>
  <c r="L13"/>
  <c r="K13"/>
  <c r="D13"/>
  <c r="L10"/>
  <c r="K10"/>
  <c r="D10"/>
  <c r="L9"/>
  <c r="K9"/>
  <c r="D9"/>
  <c r="L6"/>
  <c r="K6"/>
  <c r="D6"/>
  <c r="T7" i="22"/>
  <c r="S7"/>
  <c r="D7"/>
  <c r="D6"/>
  <c r="T55" i="20"/>
  <c r="S55"/>
  <c r="D55"/>
  <c r="T54"/>
  <c r="S54"/>
  <c r="D54"/>
  <c r="T53"/>
  <c r="S53"/>
  <c r="D53"/>
  <c r="T50"/>
  <c r="S50"/>
  <c r="D50"/>
  <c r="T49"/>
  <c r="S49"/>
  <c r="D49"/>
  <c r="T48"/>
  <c r="S48"/>
  <c r="D48"/>
  <c r="T47"/>
  <c r="S47"/>
  <c r="D47"/>
  <c r="T44"/>
  <c r="S44"/>
  <c r="D44"/>
  <c r="T43"/>
  <c r="S43"/>
  <c r="D43"/>
  <c r="T42"/>
  <c r="S42"/>
  <c r="D42"/>
  <c r="T39"/>
  <c r="S39"/>
  <c r="D39"/>
  <c r="T38"/>
  <c r="S38"/>
  <c r="D38"/>
  <c r="T37"/>
  <c r="S37"/>
  <c r="D37"/>
  <c r="T34"/>
  <c r="S34"/>
  <c r="D34"/>
  <c r="T33"/>
  <c r="S33"/>
  <c r="D33"/>
  <c r="T32"/>
  <c r="S32"/>
  <c r="D32"/>
  <c r="T31"/>
  <c r="S31"/>
  <c r="D31"/>
  <c r="T28"/>
  <c r="S28"/>
  <c r="D28"/>
  <c r="T27"/>
  <c r="S27"/>
  <c r="D27"/>
  <c r="T26"/>
  <c r="S26"/>
  <c r="D26"/>
  <c r="T25"/>
  <c r="S25"/>
  <c r="D25"/>
  <c r="T22"/>
  <c r="S22"/>
  <c r="D22"/>
  <c r="T19"/>
  <c r="S19"/>
  <c r="D19"/>
  <c r="T16"/>
  <c r="S16"/>
  <c r="D16"/>
  <c r="T13"/>
  <c r="S13"/>
  <c r="D13"/>
  <c r="T12"/>
  <c r="S12"/>
  <c r="D12"/>
  <c r="T9"/>
  <c r="S9"/>
  <c r="D9"/>
  <c r="T6"/>
  <c r="S6"/>
  <c r="D6"/>
  <c r="L104" i="17"/>
  <c r="K104"/>
  <c r="D104"/>
  <c r="L103"/>
  <c r="K103"/>
  <c r="D103"/>
  <c r="L100"/>
  <c r="K100"/>
  <c r="D100"/>
  <c r="L99"/>
  <c r="K99"/>
  <c r="D99"/>
  <c r="L98"/>
  <c r="K98"/>
  <c r="D98"/>
  <c r="L97"/>
  <c r="K97"/>
  <c r="D97"/>
  <c r="L96"/>
  <c r="K96"/>
  <c r="D96"/>
  <c r="L93"/>
  <c r="K93"/>
  <c r="D93"/>
  <c r="L92"/>
  <c r="K92"/>
  <c r="D92"/>
  <c r="L91"/>
  <c r="K91"/>
  <c r="D91"/>
  <c r="L90"/>
  <c r="K90"/>
  <c r="D90"/>
  <c r="L89"/>
  <c r="K89"/>
  <c r="D89"/>
  <c r="L86"/>
  <c r="K86"/>
  <c r="D86"/>
  <c r="L85"/>
  <c r="K85"/>
  <c r="D85"/>
  <c r="L84"/>
  <c r="K84"/>
  <c r="D84"/>
  <c r="L83"/>
  <c r="K83"/>
  <c r="D83"/>
  <c r="L82"/>
  <c r="K82"/>
  <c r="D82"/>
  <c r="L81"/>
  <c r="K81"/>
  <c r="D81"/>
  <c r="L80"/>
  <c r="K80"/>
  <c r="D80"/>
  <c r="L79"/>
  <c r="K79"/>
  <c r="D79"/>
  <c r="L76"/>
  <c r="K76"/>
  <c r="D76"/>
  <c r="L75"/>
  <c r="K75"/>
  <c r="D75"/>
  <c r="L74"/>
  <c r="K74"/>
  <c r="D74"/>
  <c r="L73"/>
  <c r="K73"/>
  <c r="D73"/>
  <c r="L72"/>
  <c r="K72"/>
  <c r="D72"/>
  <c r="L71"/>
  <c r="K71"/>
  <c r="D71"/>
  <c r="L70"/>
  <c r="K70"/>
  <c r="D70"/>
  <c r="L69"/>
  <c r="K69"/>
  <c r="D69"/>
  <c r="L68"/>
  <c r="K68"/>
  <c r="D68"/>
  <c r="L67"/>
  <c r="K67"/>
  <c r="D67"/>
  <c r="L66"/>
  <c r="K66"/>
  <c r="D66"/>
  <c r="L65"/>
  <c r="K65"/>
  <c r="D65"/>
  <c r="L62"/>
  <c r="K62"/>
  <c r="D62"/>
  <c r="L61"/>
  <c r="K61"/>
  <c r="D61"/>
  <c r="L60"/>
  <c r="K60"/>
  <c r="D60"/>
  <c r="L59"/>
  <c r="K59"/>
  <c r="D59"/>
  <c r="L58"/>
  <c r="K58"/>
  <c r="D58"/>
  <c r="L57"/>
  <c r="K57"/>
  <c r="D57"/>
  <c r="L56"/>
  <c r="K56"/>
  <c r="D56"/>
  <c r="L55"/>
  <c r="K55"/>
  <c r="D55"/>
  <c r="L54"/>
  <c r="K54"/>
  <c r="D54"/>
  <c r="L53"/>
  <c r="K53"/>
  <c r="D53"/>
  <c r="L52"/>
  <c r="K52"/>
  <c r="D52"/>
  <c r="L51"/>
  <c r="K51"/>
  <c r="D51"/>
  <c r="L50"/>
  <c r="K50"/>
  <c r="D50"/>
  <c r="L49"/>
  <c r="K49"/>
  <c r="D49"/>
  <c r="L46"/>
  <c r="K46"/>
  <c r="D46"/>
  <c r="L45"/>
  <c r="K45"/>
  <c r="D45"/>
  <c r="L44"/>
  <c r="K44"/>
  <c r="D44"/>
  <c r="L43"/>
  <c r="K43"/>
  <c r="D43"/>
  <c r="L42"/>
  <c r="K42"/>
  <c r="D42"/>
  <c r="L41"/>
  <c r="K41"/>
  <c r="D41"/>
  <c r="L40"/>
  <c r="K40"/>
  <c r="D40"/>
  <c r="L39"/>
  <c r="K39"/>
  <c r="D39"/>
  <c r="L38"/>
  <c r="K38"/>
  <c r="D38"/>
  <c r="L37"/>
  <c r="K37"/>
  <c r="D37"/>
  <c r="L36"/>
  <c r="K36"/>
  <c r="D36"/>
  <c r="L33"/>
  <c r="K33"/>
  <c r="D33"/>
  <c r="L32"/>
  <c r="K32"/>
  <c r="D32"/>
  <c r="L31"/>
  <c r="K31"/>
  <c r="D31"/>
  <c r="L30"/>
  <c r="K30"/>
  <c r="D30"/>
  <c r="L27"/>
  <c r="K27"/>
  <c r="D27"/>
  <c r="L26"/>
  <c r="K26"/>
  <c r="D26"/>
  <c r="L23"/>
  <c r="K23"/>
  <c r="D23"/>
  <c r="L22"/>
  <c r="K22"/>
  <c r="D22"/>
  <c r="L21"/>
  <c r="K21"/>
  <c r="D21"/>
  <c r="L18"/>
  <c r="K18"/>
  <c r="D18"/>
  <c r="L17"/>
  <c r="K17"/>
  <c r="D17"/>
  <c r="L14"/>
  <c r="K14"/>
  <c r="D14"/>
  <c r="L13"/>
  <c r="K13"/>
  <c r="D13"/>
  <c r="L10"/>
  <c r="K10"/>
  <c r="D10"/>
  <c r="L9"/>
  <c r="K9"/>
  <c r="D9"/>
  <c r="L6"/>
  <c r="K6"/>
  <c r="D6"/>
  <c r="L7" i="16"/>
  <c r="K7"/>
  <c r="D7"/>
  <c r="L6"/>
  <c r="K6"/>
  <c r="D6"/>
  <c r="L6" i="15"/>
  <c r="K6"/>
  <c r="D6"/>
  <c r="L62" i="14"/>
  <c r="K62"/>
  <c r="D62"/>
  <c r="L61"/>
  <c r="K61"/>
  <c r="D61"/>
  <c r="L60"/>
  <c r="K60"/>
  <c r="D60"/>
  <c r="L59"/>
  <c r="K59"/>
  <c r="D59"/>
  <c r="L58"/>
  <c r="K58"/>
  <c r="D58"/>
  <c r="L55"/>
  <c r="K55"/>
  <c r="D55"/>
  <c r="L52"/>
  <c r="K52"/>
  <c r="D52"/>
  <c r="L51"/>
  <c r="K51"/>
  <c r="D51"/>
  <c r="L50"/>
  <c r="K50"/>
  <c r="D50"/>
  <c r="L49"/>
  <c r="K49"/>
  <c r="D49"/>
  <c r="L46"/>
  <c r="K46"/>
  <c r="D46"/>
  <c r="L45"/>
  <c r="K45"/>
  <c r="D45"/>
  <c r="L44"/>
  <c r="K44"/>
  <c r="D44"/>
  <c r="L43"/>
  <c r="K43"/>
  <c r="D43"/>
  <c r="L40"/>
  <c r="K40"/>
  <c r="D40"/>
  <c r="L39"/>
  <c r="K39"/>
  <c r="D39"/>
  <c r="L38"/>
  <c r="K38"/>
  <c r="D38"/>
  <c r="L37"/>
  <c r="K37"/>
  <c r="D37"/>
  <c r="L34"/>
  <c r="K34"/>
  <c r="D34"/>
  <c r="L33"/>
  <c r="K33"/>
  <c r="D33"/>
  <c r="L32"/>
  <c r="K32"/>
  <c r="D32"/>
  <c r="L31"/>
  <c r="K31"/>
  <c r="D31"/>
  <c r="L30"/>
  <c r="K30"/>
  <c r="D30"/>
  <c r="L27"/>
  <c r="K27"/>
  <c r="D27"/>
  <c r="L24"/>
  <c r="K24"/>
  <c r="D24"/>
  <c r="L21"/>
  <c r="K21"/>
  <c r="D21"/>
  <c r="L20"/>
  <c r="K20"/>
  <c r="D20"/>
  <c r="L17"/>
  <c r="K17"/>
  <c r="D17"/>
  <c r="L16"/>
  <c r="K16"/>
  <c r="D16"/>
  <c r="L13"/>
  <c r="K13"/>
  <c r="D13"/>
  <c r="L10"/>
  <c r="K10"/>
  <c r="D10"/>
  <c r="L9"/>
  <c r="K9"/>
  <c r="D9"/>
  <c r="L6"/>
  <c r="K6"/>
  <c r="D6"/>
  <c r="T20" i="11"/>
  <c r="S20"/>
  <c r="D20"/>
  <c r="T17"/>
  <c r="S17"/>
  <c r="D17"/>
  <c r="T16"/>
  <c r="S16"/>
  <c r="D16"/>
  <c r="T13"/>
  <c r="S13"/>
  <c r="D13"/>
  <c r="T12"/>
  <c r="S12"/>
  <c r="D12"/>
  <c r="T9"/>
  <c r="S9"/>
  <c r="D9"/>
  <c r="T6"/>
  <c r="S6"/>
  <c r="D6"/>
  <c r="L39" i="8"/>
  <c r="K39"/>
  <c r="D39"/>
  <c r="L36"/>
  <c r="K36"/>
  <c r="D36"/>
  <c r="L33"/>
  <c r="K33"/>
  <c r="D33"/>
  <c r="L32"/>
  <c r="K32"/>
  <c r="D32"/>
  <c r="L29"/>
  <c r="K29"/>
  <c r="D29"/>
  <c r="L28"/>
  <c r="K28"/>
  <c r="D28"/>
  <c r="L27"/>
  <c r="K27"/>
  <c r="D27"/>
  <c r="L26"/>
  <c r="K26"/>
  <c r="D26"/>
  <c r="L25"/>
  <c r="K25"/>
  <c r="D25"/>
  <c r="L24"/>
  <c r="K24"/>
  <c r="D24"/>
  <c r="L21"/>
  <c r="K21"/>
  <c r="D21"/>
  <c r="L18"/>
  <c r="K18"/>
  <c r="D18"/>
  <c r="L15"/>
  <c r="K15"/>
  <c r="D15"/>
  <c r="L12"/>
  <c r="K12"/>
  <c r="D12"/>
  <c r="L9"/>
  <c r="K9"/>
  <c r="D9"/>
  <c r="L6"/>
  <c r="K6"/>
  <c r="D6"/>
  <c r="L6" i="7"/>
  <c r="K6"/>
  <c r="D6"/>
  <c r="L6" i="6"/>
  <c r="K6"/>
  <c r="D6"/>
  <c r="L25" i="5"/>
  <c r="K25"/>
  <c r="D25"/>
  <c r="L22"/>
  <c r="K22"/>
  <c r="D22"/>
  <c r="L19"/>
  <c r="K19"/>
  <c r="D19"/>
  <c r="L18"/>
  <c r="K18"/>
  <c r="D18"/>
  <c r="L17"/>
  <c r="K17"/>
  <c r="D17"/>
  <c r="L16"/>
  <c r="K16"/>
  <c r="D16"/>
  <c r="L13"/>
  <c r="K13"/>
  <c r="D13"/>
  <c r="L12"/>
  <c r="K12"/>
  <c r="D12"/>
  <c r="L11"/>
  <c r="K11"/>
  <c r="D11"/>
  <c r="L10"/>
  <c r="K10"/>
  <c r="D10"/>
  <c r="L7"/>
  <c r="K7"/>
  <c r="D7"/>
  <c r="L6"/>
  <c r="K6"/>
  <c r="D6"/>
</calcChain>
</file>

<file path=xl/sharedStrings.xml><?xml version="1.0" encoding="utf-8"?>
<sst xmlns="http://schemas.openxmlformats.org/spreadsheetml/2006/main" count="3621" uniqueCount="1242">
  <si>
    <t>Name</t>
  </si>
  <si>
    <t>Team</t>
  </si>
  <si>
    <t>Squat</t>
  </si>
  <si>
    <t>Benchpress</t>
  </si>
  <si>
    <t>Deadlift</t>
  </si>
  <si>
    <t>Coach</t>
  </si>
  <si>
    <t>Pts</t>
  </si>
  <si>
    <t>Rec</t>
  </si>
  <si>
    <t>Body
weight</t>
  </si>
  <si>
    <t>Total</t>
  </si>
  <si>
    <t>Age Class
Bith date/Age</t>
  </si>
  <si>
    <t>Shv/Mel</t>
  </si>
  <si>
    <t>Town/Country</t>
  </si>
  <si>
    <t>Body Weight Category  82.5</t>
  </si>
  <si>
    <t>Zubkov Pavel</t>
  </si>
  <si>
    <t>1. Zubkov Pavel</t>
  </si>
  <si>
    <t>Open (22.12.1985)/33</t>
  </si>
  <si>
    <t>81,90</t>
  </si>
  <si>
    <t>Kami Power Pro</t>
  </si>
  <si>
    <t>RUS/Khimki</t>
  </si>
  <si>
    <t>280,0</t>
  </si>
  <si>
    <t>292,5</t>
  </si>
  <si>
    <t>302,5</t>
  </si>
  <si>
    <t>Body Weight Category  90</t>
  </si>
  <si>
    <t>Volkov Denis</t>
  </si>
  <si>
    <t>1. Volkov Denis</t>
  </si>
  <si>
    <t>Open (28.09.1988)/30</t>
  </si>
  <si>
    <t>83,90</t>
  </si>
  <si>
    <t>Lichno</t>
  </si>
  <si>
    <t>RUS/Moskva</t>
  </si>
  <si>
    <t>210,0e</t>
  </si>
  <si>
    <t>220,0e</t>
  </si>
  <si>
    <t>230,0e</t>
  </si>
  <si>
    <t>Sokolovskiy Nikolay</t>
  </si>
  <si>
    <t>2. Sokolovskiy Nikolay</t>
  </si>
  <si>
    <t>Open (16.07.1992)/26</t>
  </si>
  <si>
    <t>84,20</t>
  </si>
  <si>
    <t>BLR/Vitebsk</t>
  </si>
  <si>
    <t>190,0</t>
  </si>
  <si>
    <t>205,0</t>
  </si>
  <si>
    <t>215,0</t>
  </si>
  <si>
    <t>-. Zhdanov Evgeniy</t>
  </si>
  <si>
    <t>Open (11.10.1991)/27</t>
  </si>
  <si>
    <t>86,80</t>
  </si>
  <si>
    <t>Khudoleev Evgeniy</t>
  </si>
  <si>
    <t>1. Khudoleev Evgeniy</t>
  </si>
  <si>
    <t>Masters 70-74 (10.09.1946)/72</t>
  </si>
  <si>
    <t>88,30</t>
  </si>
  <si>
    <t>RUS/Valday</t>
  </si>
  <si>
    <t>190,0e</t>
  </si>
  <si>
    <t>205,0e</t>
  </si>
  <si>
    <t>215,0e</t>
  </si>
  <si>
    <t>Body Weight Category  100</t>
  </si>
  <si>
    <t>Karapetyan Oganes</t>
  </si>
  <si>
    <t>1. Karapetyan Oganes</t>
  </si>
  <si>
    <t>Open (14.11.1985)/33</t>
  </si>
  <si>
    <t>98,80</t>
  </si>
  <si>
    <t>RUS/Astrakhan</t>
  </si>
  <si>
    <t>295,0e</t>
  </si>
  <si>
    <t>311,0e</t>
  </si>
  <si>
    <t>315,0</t>
  </si>
  <si>
    <t>Sizov Aleksey</t>
  </si>
  <si>
    <t>2. Sizov Aleksey</t>
  </si>
  <si>
    <t>Open (11.12.1979)/39</t>
  </si>
  <si>
    <t>97,10</t>
  </si>
  <si>
    <t>300,0</t>
  </si>
  <si>
    <t>Body Weight Category  110</t>
  </si>
  <si>
    <t>Bareyshin Aleksey</t>
  </si>
  <si>
    <t>1. Bareyshin Aleksey</t>
  </si>
  <si>
    <t>Open (27.10.1981)/37</t>
  </si>
  <si>
    <t>108,50</t>
  </si>
  <si>
    <t>260,0</t>
  </si>
  <si>
    <t>280,0e</t>
  </si>
  <si>
    <t>290,0e</t>
  </si>
  <si>
    <t>Body Weight Category  125</t>
  </si>
  <si>
    <t>Lukyanov Sergey</t>
  </si>
  <si>
    <t>1. Lukyanov Sergey</t>
  </si>
  <si>
    <t>Masters 60-64 (25.10.1955)/63</t>
  </si>
  <si>
    <t>116,00</t>
  </si>
  <si>
    <t>180,0e</t>
  </si>
  <si>
    <t>200,0</t>
  </si>
  <si>
    <t>List absolute winners</t>
  </si>
  <si>
    <t>Man</t>
  </si>
  <si>
    <t>Open</t>
  </si>
  <si>
    <t>Age class</t>
  </si>
  <si>
    <t>WC</t>
  </si>
  <si>
    <t>Totall</t>
  </si>
  <si>
    <t>82.5</t>
  </si>
  <si>
    <t>188,2760</t>
  </si>
  <si>
    <t>100</t>
  </si>
  <si>
    <t>310,0</t>
  </si>
  <si>
    <t>172,6700</t>
  </si>
  <si>
    <t>168,4800</t>
  </si>
  <si>
    <t>110</t>
  </si>
  <si>
    <t>290,0</t>
  </si>
  <si>
    <t>156,1360</t>
  </si>
  <si>
    <t>90</t>
  </si>
  <si>
    <t>230,0</t>
  </si>
  <si>
    <t>140,8060</t>
  </si>
  <si>
    <t>131,3005</t>
  </si>
  <si>
    <t>Sub</t>
  </si>
  <si>
    <t>Sub Masters 33-39</t>
  </si>
  <si>
    <t>Masters</t>
  </si>
  <si>
    <t>Masters 70-74</t>
  </si>
  <si>
    <t>264,3225</t>
  </si>
  <si>
    <t>Masters 60-64</t>
  </si>
  <si>
    <t>125</t>
  </si>
  <si>
    <t>182,4389</t>
  </si>
  <si>
    <t>Result</t>
  </si>
  <si>
    <t>Gorelikov Dmitry</t>
  </si>
  <si>
    <t>1. Gorelikov Dmitry</t>
  </si>
  <si>
    <t>Masters 50-54 (23.06.1968)/50</t>
  </si>
  <si>
    <t>86,00</t>
  </si>
  <si>
    <t>RUS/Sergiyev Posad</t>
  </si>
  <si>
    <t>235,0e</t>
  </si>
  <si>
    <t>242,5e</t>
  </si>
  <si>
    <t>255,0</t>
  </si>
  <si>
    <t>Masters 50-54</t>
  </si>
  <si>
    <t>242,5</t>
  </si>
  <si>
    <t>171,2973</t>
  </si>
  <si>
    <t>Malygin Yuriy</t>
  </si>
  <si>
    <t>1. Malygin Yuriy</t>
  </si>
  <si>
    <t>Masters 50-54 (30.06.1967)/51</t>
  </si>
  <si>
    <t>94,30</t>
  </si>
  <si>
    <t>UKR/Druzhkovka</t>
  </si>
  <si>
    <t>120,0e</t>
  </si>
  <si>
    <t>160,0e</t>
  </si>
  <si>
    <t>172,5e</t>
  </si>
  <si>
    <t>172,5</t>
  </si>
  <si>
    <t>118,4041</t>
  </si>
  <si>
    <t>Body Weight Category  60</t>
  </si>
  <si>
    <t>Velial Nika</t>
  </si>
  <si>
    <t>1. Velial Nika</t>
  </si>
  <si>
    <t>Open (25.11.1992)/26</t>
  </si>
  <si>
    <t>59,10</t>
  </si>
  <si>
    <t>85,0</t>
  </si>
  <si>
    <t>92,5</t>
  </si>
  <si>
    <t>Body Weight Category  67.5</t>
  </si>
  <si>
    <t>Lyalyakicheva Tatyana</t>
  </si>
  <si>
    <t>1. Lyalyakicheva Tatyana</t>
  </si>
  <si>
    <t>Open (21.03.1978)/41</t>
  </si>
  <si>
    <t>65,80</t>
  </si>
  <si>
    <t>RUS/Serpukhov</t>
  </si>
  <si>
    <t>85,0e</t>
  </si>
  <si>
    <t>90,0e</t>
  </si>
  <si>
    <t>95,0e</t>
  </si>
  <si>
    <t>0,0</t>
  </si>
  <si>
    <t>Yakovleva Irina</t>
  </si>
  <si>
    <t>1. Yakovleva Irina</t>
  </si>
  <si>
    <t>Open (08.01.1970)/49</t>
  </si>
  <si>
    <t>81,10</t>
  </si>
  <si>
    <t>RUS/Solnechnogorsk</t>
  </si>
  <si>
    <t>110,0e</t>
  </si>
  <si>
    <t>117,5e</t>
  </si>
  <si>
    <t>122,5e</t>
  </si>
  <si>
    <t>Body Weight Category  75</t>
  </si>
  <si>
    <t>Ayrapetyan Dmitriy</t>
  </si>
  <si>
    <t>1. Ayrapetyan Dmitriy</t>
  </si>
  <si>
    <t>Open (25.10.1987)/31</t>
  </si>
  <si>
    <t>74,40</t>
  </si>
  <si>
    <t>157,5e</t>
  </si>
  <si>
    <t>162,5e</t>
  </si>
  <si>
    <t>165,0e</t>
  </si>
  <si>
    <t>Boyarchenko Valery</t>
  </si>
  <si>
    <t>1. Boyarchenko Valery</t>
  </si>
  <si>
    <t>Masters 40-44 (28.11.1974)/44</t>
  </si>
  <si>
    <t>81,70</t>
  </si>
  <si>
    <t>RUS/Kirov</t>
  </si>
  <si>
    <t>145,0e</t>
  </si>
  <si>
    <t>150,0e</t>
  </si>
  <si>
    <t>155,0</t>
  </si>
  <si>
    <t>Petrichenko Maksim</t>
  </si>
  <si>
    <t>1. Petrichenko Maksim</t>
  </si>
  <si>
    <t>Open (01.05.1987)/31</t>
  </si>
  <si>
    <t>88,00</t>
  </si>
  <si>
    <t>RUS/Ryazan</t>
  </si>
  <si>
    <t>175,0e</t>
  </si>
  <si>
    <t>182,5</t>
  </si>
  <si>
    <t>1. Sizov Aleksey</t>
  </si>
  <si>
    <t>195,0</t>
  </si>
  <si>
    <t>210,0</t>
  </si>
  <si>
    <t>-. Belov Anton</t>
  </si>
  <si>
    <t>Open (24.03.1985)/34</t>
  </si>
  <si>
    <t>98,40</t>
  </si>
  <si>
    <t>Eyvazov Dmitriy</t>
  </si>
  <si>
    <t>2. Eyvazov Dmitriy</t>
  </si>
  <si>
    <t>92,60</t>
  </si>
  <si>
    <t>162,5</t>
  </si>
  <si>
    <t>180,0</t>
  </si>
  <si>
    <t>Dementyev Vladimir</t>
  </si>
  <si>
    <t>3. Dementyev Vladimir</t>
  </si>
  <si>
    <t>100,00</t>
  </si>
  <si>
    <t>RUS/Egoryevsk</t>
  </si>
  <si>
    <t>170,0</t>
  </si>
  <si>
    <t>175,0</t>
  </si>
  <si>
    <t>Ivanov Alexander</t>
  </si>
  <si>
    <t>1. Ivanov Alexander</t>
  </si>
  <si>
    <t>Masters 40-44 (06.09.1975)/43</t>
  </si>
  <si>
    <t>92,70</t>
  </si>
  <si>
    <t>160,0</t>
  </si>
  <si>
    <t>165,0</t>
  </si>
  <si>
    <t>Grekhov Dmitriy</t>
  </si>
  <si>
    <t>1. Grekhov Dmitriy</t>
  </si>
  <si>
    <t>Open (14.09.1993)/25</t>
  </si>
  <si>
    <t>105,70</t>
  </si>
  <si>
    <t>RUS/Ust-Ilimsk</t>
  </si>
  <si>
    <t>185,0e</t>
  </si>
  <si>
    <t>192,5</t>
  </si>
  <si>
    <t>Shulimov Kirill</t>
  </si>
  <si>
    <t>2. Shulimov Kirill</t>
  </si>
  <si>
    <t>Open (04.06.1980)/38</t>
  </si>
  <si>
    <t>107,40</t>
  </si>
  <si>
    <t>RUS/Krasnogorsk</t>
  </si>
  <si>
    <t>192,5e</t>
  </si>
  <si>
    <t>Pechnyakov A.</t>
  </si>
  <si>
    <t>Azartsov Aleksey</t>
  </si>
  <si>
    <t>1. Azartsov Aleksey</t>
  </si>
  <si>
    <t>Masters 45-49 (03.02.1973)/46</t>
  </si>
  <si>
    <t>112,10</t>
  </si>
  <si>
    <t>Zubr</t>
  </si>
  <si>
    <t>110,0</t>
  </si>
  <si>
    <t>120,0</t>
  </si>
  <si>
    <t>130,0</t>
  </si>
  <si>
    <t>Body Weight Category  140</t>
  </si>
  <si>
    <t>Mironov Sergey</t>
  </si>
  <si>
    <t>1. Mironov Sergey</t>
  </si>
  <si>
    <t>Open (09.07.1973)/45</t>
  </si>
  <si>
    <t>127,50</t>
  </si>
  <si>
    <t>RUS/Zhukovskiy</t>
  </si>
  <si>
    <t>Women</t>
  </si>
  <si>
    <t>122,5</t>
  </si>
  <si>
    <t>83,5082</t>
  </si>
  <si>
    <t>60</t>
  </si>
  <si>
    <t>80,5952</t>
  </si>
  <si>
    <t>67.5</t>
  </si>
  <si>
    <t>95,0</t>
  </si>
  <si>
    <t>75,6105</t>
  </si>
  <si>
    <t>117,9360</t>
  </si>
  <si>
    <t>140</t>
  </si>
  <si>
    <t>220,0</t>
  </si>
  <si>
    <t>113,9600</t>
  </si>
  <si>
    <t>75</t>
  </si>
  <si>
    <t>110,3355</t>
  </si>
  <si>
    <t>106,8300</t>
  </si>
  <si>
    <t>104,4505</t>
  </si>
  <si>
    <t>103,9308</t>
  </si>
  <si>
    <t>103,6440</t>
  </si>
  <si>
    <t>94,1800</t>
  </si>
  <si>
    <t>Masters 40-44</t>
  </si>
  <si>
    <t>150,0</t>
  </si>
  <si>
    <t>96,4243</t>
  </si>
  <si>
    <t>93,7212</t>
  </si>
  <si>
    <t>Masters 45-49</t>
  </si>
  <si>
    <t>62,8048</t>
  </si>
  <si>
    <t>Tarasova Yuliya</t>
  </si>
  <si>
    <t>1. Tarasova Yuliya</t>
  </si>
  <si>
    <t>Masters 45-49 (21.02.1974)/45</t>
  </si>
  <si>
    <t>80,0</t>
  </si>
  <si>
    <t>100,0</t>
  </si>
  <si>
    <t>50,0e</t>
  </si>
  <si>
    <t>60,0</t>
  </si>
  <si>
    <t>125,0e</t>
  </si>
  <si>
    <t>130,0e</t>
  </si>
  <si>
    <t>Dikun Evgeniy</t>
  </si>
  <si>
    <t>1. Dikun Evgeniy</t>
  </si>
  <si>
    <t>Teen 18-19 (28.07.1999)/19</t>
  </si>
  <si>
    <t>70,50</t>
  </si>
  <si>
    <t>102,5e</t>
  </si>
  <si>
    <t>200,0e</t>
  </si>
  <si>
    <t>Vasin Mihail</t>
  </si>
  <si>
    <t>1. Vasin Mihail</t>
  </si>
  <si>
    <t>Open (16.10.1994)/24</t>
  </si>
  <si>
    <t>88,10</t>
  </si>
  <si>
    <t>RUS/Shatura</t>
  </si>
  <si>
    <t>235,0</t>
  </si>
  <si>
    <t>245,0</t>
  </si>
  <si>
    <t>140,0</t>
  </si>
  <si>
    <t>252,5e</t>
  </si>
  <si>
    <t>Davydov Nikolay</t>
  </si>
  <si>
    <t>1. Davydov Nikolay</t>
  </si>
  <si>
    <t>Masters 40-44 (17.03.1979)/40</t>
  </si>
  <si>
    <t>140,0e</t>
  </si>
  <si>
    <t>265,0</t>
  </si>
  <si>
    <t>275,0</t>
  </si>
  <si>
    <t>285,0</t>
  </si>
  <si>
    <t>Tulyakov Nikita</t>
  </si>
  <si>
    <t>1. Tulyakov Nikita</t>
  </si>
  <si>
    <t>Open (23.02.1988)/31</t>
  </si>
  <si>
    <t>115,00</t>
  </si>
  <si>
    <t>225,0e</t>
  </si>
  <si>
    <t>250,0e</t>
  </si>
  <si>
    <t>265,0e</t>
  </si>
  <si>
    <t>275,0e</t>
  </si>
  <si>
    <t>Parfenova Mariya</t>
  </si>
  <si>
    <t>198,5708</t>
  </si>
  <si>
    <t>Teen</t>
  </si>
  <si>
    <t>Teen 18-19</t>
  </si>
  <si>
    <t>470,0</t>
  </si>
  <si>
    <t>328,4830</t>
  </si>
  <si>
    <t>785,0</t>
  </si>
  <si>
    <t>440,8560</t>
  </si>
  <si>
    <t>612,5</t>
  </si>
  <si>
    <t>363,2125</t>
  </si>
  <si>
    <t>675,0</t>
  </si>
  <si>
    <t>358,6950</t>
  </si>
  <si>
    <t>580,0</t>
  </si>
  <si>
    <t>343,9400</t>
  </si>
  <si>
    <t>Body Weight Category  48</t>
  </si>
  <si>
    <t>Vorobyeva Tatyana</t>
  </si>
  <si>
    <t>1. Vorobyeva Tatyana</t>
  </si>
  <si>
    <t>Open (29.11.1986)/32</t>
  </si>
  <si>
    <t>47,80</t>
  </si>
  <si>
    <t>97,5e</t>
  </si>
  <si>
    <t>105,0e</t>
  </si>
  <si>
    <t>107,5e</t>
  </si>
  <si>
    <t>Body Weight Category  52</t>
  </si>
  <si>
    <t>Novikova Aleksandra</t>
  </si>
  <si>
    <t>1. Novikova Aleksandra</t>
  </si>
  <si>
    <t>Juniors 20-23 (27.10.1997)/21</t>
  </si>
  <si>
    <t>52,00</t>
  </si>
  <si>
    <t>75,0</t>
  </si>
  <si>
    <t>Baranova Anna</t>
  </si>
  <si>
    <t>1. Baranova Anna</t>
  </si>
  <si>
    <t>Open (13.08.1984)/34</t>
  </si>
  <si>
    <t>51,10</t>
  </si>
  <si>
    <t>90,0</t>
  </si>
  <si>
    <t>Moskaeva Olga</t>
  </si>
  <si>
    <t>1. Moskaeva Olga</t>
  </si>
  <si>
    <t>Open (18.10.1981)/37</t>
  </si>
  <si>
    <t>58,40</t>
  </si>
  <si>
    <t>Agaeva Anastasiya</t>
  </si>
  <si>
    <t>1. Agaeva Anastasiya</t>
  </si>
  <si>
    <t>Teen 16-17 (20.06.2001)/17</t>
  </si>
  <si>
    <t>67,10</t>
  </si>
  <si>
    <t>Gurevich Alisa</t>
  </si>
  <si>
    <t>1. Gurevich Alisa</t>
  </si>
  <si>
    <t>Juniors 20-23 (25.07.1997)/21</t>
  </si>
  <si>
    <t>67,00</t>
  </si>
  <si>
    <t>127,5</t>
  </si>
  <si>
    <t>127,5e</t>
  </si>
  <si>
    <t>135,0</t>
  </si>
  <si>
    <t>Shapovalova Nataliya</t>
  </si>
  <si>
    <t>1. Shapovalova Nataliya</t>
  </si>
  <si>
    <t>Juniors 20-23 (26.09.1996)/22</t>
  </si>
  <si>
    <t>73,80</t>
  </si>
  <si>
    <t>100,0e</t>
  </si>
  <si>
    <t>112,5</t>
  </si>
  <si>
    <t>125,0</t>
  </si>
  <si>
    <t>Zakharova Tatyana</t>
  </si>
  <si>
    <t>1. Zakharova Tatyana</t>
  </si>
  <si>
    <t>Open (20.08.1994)/24</t>
  </si>
  <si>
    <t>Samsonova Anna</t>
  </si>
  <si>
    <t>1. Samsonova Anna</t>
  </si>
  <si>
    <t>Open (10.04.1983)/35</t>
  </si>
  <si>
    <t>82,50</t>
  </si>
  <si>
    <t>Nazarov Yusuf</t>
  </si>
  <si>
    <t>1. Nazarov Yusuf</t>
  </si>
  <si>
    <t>Teen 16-17 (10.12.2001)/17</t>
  </si>
  <si>
    <t>65,20</t>
  </si>
  <si>
    <t>TJK/Tadzhikistan</t>
  </si>
  <si>
    <t>Romanov Aleksey</t>
  </si>
  <si>
    <t>1. Romanov Aleksey</t>
  </si>
  <si>
    <t>Open (05.02.1986)/33</t>
  </si>
  <si>
    <t>74,50</t>
  </si>
  <si>
    <t>222,5e</t>
  </si>
  <si>
    <t>227,5e</t>
  </si>
  <si>
    <t>232,5e</t>
  </si>
  <si>
    <t>237,5</t>
  </si>
  <si>
    <t>Nersisyan Armen</t>
  </si>
  <si>
    <t>2. Nersisyan Armen</t>
  </si>
  <si>
    <t>Open (02.03.1994)/25</t>
  </si>
  <si>
    <t>74,80</t>
  </si>
  <si>
    <t>202,5</t>
  </si>
  <si>
    <t>207,5</t>
  </si>
  <si>
    <t>Orlov Sergey</t>
  </si>
  <si>
    <t>-. Orlov Sergey</t>
  </si>
  <si>
    <t>Open (15.06.1989)/29</t>
  </si>
  <si>
    <t>Buyanov Mikhail</t>
  </si>
  <si>
    <t>1. Buyanov Mikhail</t>
  </si>
  <si>
    <t>Masters 40-44 (18.11.1974)/44</t>
  </si>
  <si>
    <t>222,5</t>
  </si>
  <si>
    <t>Isaev Ivan</t>
  </si>
  <si>
    <t>1. Isaev Ivan</t>
  </si>
  <si>
    <t>80,50</t>
  </si>
  <si>
    <t>RUS/Lytkarino</t>
  </si>
  <si>
    <t>155,0e</t>
  </si>
  <si>
    <t>Kasyanov Ilya</t>
  </si>
  <si>
    <t>1. Kasyanov Ilya</t>
  </si>
  <si>
    <t>Juniors 20-23 (13.02.1997)/22</t>
  </si>
  <si>
    <t>79,10</t>
  </si>
  <si>
    <t>185,0</t>
  </si>
  <si>
    <t>Dzhurayev O.</t>
  </si>
  <si>
    <t>Kapkov Sergey</t>
  </si>
  <si>
    <t>1. Kapkov Sergey</t>
  </si>
  <si>
    <t>Open (27.03.1989)/30</t>
  </si>
  <si>
    <t>82,40</t>
  </si>
  <si>
    <t>195,0e</t>
  </si>
  <si>
    <t>Susalev Ilya</t>
  </si>
  <si>
    <t>2. Susalev Ilya</t>
  </si>
  <si>
    <t>Open (04.08.1988)/30</t>
  </si>
  <si>
    <t>79,60</t>
  </si>
  <si>
    <t>Sokolov Mikhail</t>
  </si>
  <si>
    <t>1. Sokolov Mikhail</t>
  </si>
  <si>
    <t>Open (07.04.1984)/35</t>
  </si>
  <si>
    <t>85,60</t>
  </si>
  <si>
    <t>Domanskiy Aleksandr</t>
  </si>
  <si>
    <t>1. Domanskiy Aleksandr</t>
  </si>
  <si>
    <t>90,00</t>
  </si>
  <si>
    <t>RUS/Arkhangelsk</t>
  </si>
  <si>
    <t>225,0</t>
  </si>
  <si>
    <t>237,5e</t>
  </si>
  <si>
    <t>247,5e</t>
  </si>
  <si>
    <t>Akopyan Arsen</t>
  </si>
  <si>
    <t>-. Akopyan Arsen</t>
  </si>
  <si>
    <t>Masters 45-49 (23.06.1970)/48</t>
  </si>
  <si>
    <t>89,00</t>
  </si>
  <si>
    <t>Khovanets Igor</t>
  </si>
  <si>
    <t>1. Khovanets Igor</t>
  </si>
  <si>
    <t>Masters 60-64 (07.01.1957)/62</t>
  </si>
  <si>
    <t>87,40</t>
  </si>
  <si>
    <t>Bulaev Igor</t>
  </si>
  <si>
    <t>1. Bulaev Igor</t>
  </si>
  <si>
    <t>Juniors 20-23 (13.04.1997)/21</t>
  </si>
  <si>
    <t>93,60</t>
  </si>
  <si>
    <t>232,5</t>
  </si>
  <si>
    <t>Prozorov Konstantin</t>
  </si>
  <si>
    <t>1. Prozorov Konstantin</t>
  </si>
  <si>
    <t>Open (12.03.1989)/30</t>
  </si>
  <si>
    <t>212,5e</t>
  </si>
  <si>
    <t>Khakimov Aslan</t>
  </si>
  <si>
    <t>2. Khakimov Aslan</t>
  </si>
  <si>
    <t>Open (01.01.1982)/37</t>
  </si>
  <si>
    <t>99,40</t>
  </si>
  <si>
    <t>Ignatov Pavel</t>
  </si>
  <si>
    <t>1. Ignatov Pavel</t>
  </si>
  <si>
    <t>96,00</t>
  </si>
  <si>
    <t>RUS/Nizhniy Novgorod</t>
  </si>
  <si>
    <t>Malishevskiy Aleksandr</t>
  </si>
  <si>
    <t>1. Malishevskiy Aleksandr</t>
  </si>
  <si>
    <t>Masters 45-49 (24.11.1972)/46</t>
  </si>
  <si>
    <t>108,70</t>
  </si>
  <si>
    <t>RUS/Novyy Urengoy</t>
  </si>
  <si>
    <t>207,5e</t>
  </si>
  <si>
    <t>Kislitsin Ivan</t>
  </si>
  <si>
    <t>1. Kislitsin Ivan</t>
  </si>
  <si>
    <t>Teen 13-15 (10.12.2004)/14</t>
  </si>
  <si>
    <t>116,20</t>
  </si>
  <si>
    <t>Parshikov Ion</t>
  </si>
  <si>
    <t>1. Parshikov Ion</t>
  </si>
  <si>
    <t>Juniors 20-23 (14.10.1995)/23</t>
  </si>
  <si>
    <t>RUS/Vyazma</t>
  </si>
  <si>
    <t>Gavrilov Sergey</t>
  </si>
  <si>
    <t>1. Gavrilov Sergey</t>
  </si>
  <si>
    <t>Open (08.08.1979)/39</t>
  </si>
  <si>
    <t>124,20</t>
  </si>
  <si>
    <t>300,0e</t>
  </si>
  <si>
    <t>325,0e</t>
  </si>
  <si>
    <t>330,0</t>
  </si>
  <si>
    <t>Turumin Sergey</t>
  </si>
  <si>
    <t>2. Turumin Sergey</t>
  </si>
  <si>
    <t>Open (07.07.1987)/31</t>
  </si>
  <si>
    <t>117,90</t>
  </si>
  <si>
    <t>RUS/Istra</t>
  </si>
  <si>
    <t>240,0</t>
  </si>
  <si>
    <t>250,0</t>
  </si>
  <si>
    <t>Levshin Vladimir</t>
  </si>
  <si>
    <t>1. Levshin Vladimir</t>
  </si>
  <si>
    <t>123,80</t>
  </si>
  <si>
    <t>RUS/Tula</t>
  </si>
  <si>
    <t>Teen 16-17</t>
  </si>
  <si>
    <t>66,5295</t>
  </si>
  <si>
    <t>Juniors</t>
  </si>
  <si>
    <t>Juniors 20-23</t>
  </si>
  <si>
    <t>99,9217</t>
  </si>
  <si>
    <t>52</t>
  </si>
  <si>
    <t>82,3310</t>
  </si>
  <si>
    <t>82,1362</t>
  </si>
  <si>
    <t>48</t>
  </si>
  <si>
    <t>107,5</t>
  </si>
  <si>
    <t>111,4775</t>
  </si>
  <si>
    <t>96,8000</t>
  </si>
  <si>
    <t>93,3375</t>
  </si>
  <si>
    <t>87,5030</t>
  </si>
  <si>
    <t>67,1365</t>
  </si>
  <si>
    <t>116,1260</t>
  </si>
  <si>
    <t>102,3913</t>
  </si>
  <si>
    <t>Teen 13-15</t>
  </si>
  <si>
    <t>92,8025</t>
  </si>
  <si>
    <t>132,6250</t>
  </si>
  <si>
    <t>125,9060</t>
  </si>
  <si>
    <t>118,0670</t>
  </si>
  <si>
    <t>325,0</t>
  </si>
  <si>
    <t>169,6825</t>
  </si>
  <si>
    <t>155,3100</t>
  </si>
  <si>
    <t>141,9635</t>
  </si>
  <si>
    <t>134,8447</t>
  </si>
  <si>
    <t>132,2250</t>
  </si>
  <si>
    <t>212,5</t>
  </si>
  <si>
    <t>122,2725</t>
  </si>
  <si>
    <t>120,8610</t>
  </si>
  <si>
    <t>112,4887</t>
  </si>
  <si>
    <t>103,2200</t>
  </si>
  <si>
    <t>141,9353</t>
  </si>
  <si>
    <t>117,6075</t>
  </si>
  <si>
    <t>114,3720</t>
  </si>
  <si>
    <t>156,8970</t>
  </si>
  <si>
    <t>144,1740</t>
  </si>
  <si>
    <t>119,3600</t>
  </si>
  <si>
    <t>137,5455</t>
  </si>
  <si>
    <t>Open (21.11.1985)/33</t>
  </si>
  <si>
    <t>Body Weight Category  44</t>
  </si>
  <si>
    <t>Mansurova Sabina</t>
  </si>
  <si>
    <t>1. Mansurova Sabina</t>
  </si>
  <si>
    <t>Open (03.09.2005)/13</t>
  </si>
  <si>
    <t>43,20</t>
  </si>
  <si>
    <t>45,0e</t>
  </si>
  <si>
    <t>47,5</t>
  </si>
  <si>
    <t>Arkhanova Kristina</t>
  </si>
  <si>
    <t>1. Arkhanova Kristina</t>
  </si>
  <si>
    <t>Juniors 20-23 (01.03.1997)/22</t>
  </si>
  <si>
    <t>50,30</t>
  </si>
  <si>
    <t>42,5</t>
  </si>
  <si>
    <t>45,0</t>
  </si>
  <si>
    <t>50,0</t>
  </si>
  <si>
    <t>Mostovaya Mariya</t>
  </si>
  <si>
    <t>1. Mostovaya Mariya</t>
  </si>
  <si>
    <t>Open (19.11.1985)/33</t>
  </si>
  <si>
    <t>51,60</t>
  </si>
  <si>
    <t>57,5e</t>
  </si>
  <si>
    <t>60,0e</t>
  </si>
  <si>
    <t>62,5e</t>
  </si>
  <si>
    <t>Body Weight Category  56</t>
  </si>
  <si>
    <t>Tassova Mariya</t>
  </si>
  <si>
    <t>1. Tassova Mariya</t>
  </si>
  <si>
    <t>Teen 18-19 (24.07.2000)/18</t>
  </si>
  <si>
    <t>53,40</t>
  </si>
  <si>
    <t>Ilyinskaya Ekaterina</t>
  </si>
  <si>
    <t>1. Ilyinskaya Ekaterina</t>
  </si>
  <si>
    <t>Open (04.12.1988)/30</t>
  </si>
  <si>
    <t>55,00</t>
  </si>
  <si>
    <t>RUS/Pushchino</t>
  </si>
  <si>
    <t>65,0e</t>
  </si>
  <si>
    <t>67,5</t>
  </si>
  <si>
    <t>Stupnikova Dariya</t>
  </si>
  <si>
    <t>1. Stupnikova Dariya</t>
  </si>
  <si>
    <t>Teen 18-19 (10.12.1999)/19</t>
  </si>
  <si>
    <t>59,00</t>
  </si>
  <si>
    <t>52,5e</t>
  </si>
  <si>
    <t>57,5</t>
  </si>
  <si>
    <t>Drabkina Olga</t>
  </si>
  <si>
    <t>1. Drabkina Olga</t>
  </si>
  <si>
    <t>Masters 45-49 (13.11.1972)/46</t>
  </si>
  <si>
    <t>58,70</t>
  </si>
  <si>
    <t>52,5</t>
  </si>
  <si>
    <t>Koroleva Sofiya</t>
  </si>
  <si>
    <t>1. Koroleva Sofiya</t>
  </si>
  <si>
    <t>Teen 16-17 (13.07.2001)/17</t>
  </si>
  <si>
    <t>64,40</t>
  </si>
  <si>
    <t>55,0e</t>
  </si>
  <si>
    <t>Koretskaya Mariya</t>
  </si>
  <si>
    <t>1. Koretskaya Mariya</t>
  </si>
  <si>
    <t>Open (11.10.1981)/37</t>
  </si>
  <si>
    <t>63,30</t>
  </si>
  <si>
    <t>55,0</t>
  </si>
  <si>
    <t>Markovich Nataliya</t>
  </si>
  <si>
    <t>1. Markovich Nataliya</t>
  </si>
  <si>
    <t>Masters 40-44 (06.02.1976)/43</t>
  </si>
  <si>
    <t>72,50</t>
  </si>
  <si>
    <t>47,5e</t>
  </si>
  <si>
    <t>Kuzenkin Filipp</t>
  </si>
  <si>
    <t>1. Kuzenkin Filipp</t>
  </si>
  <si>
    <t>Teen 13-15 (01.06.2003)/15</t>
  </si>
  <si>
    <t>64,00</t>
  </si>
  <si>
    <t>77,5e</t>
  </si>
  <si>
    <t>80,0e</t>
  </si>
  <si>
    <t>82,5e</t>
  </si>
  <si>
    <t>Fokin Sergey</t>
  </si>
  <si>
    <t>1. Fokin Sergey</t>
  </si>
  <si>
    <t>Juniors 20-23 (14.02.1996)/23</t>
  </si>
  <si>
    <t>105,0</t>
  </si>
  <si>
    <t>Alekseev Aleksey</t>
  </si>
  <si>
    <t>1. Alekseev Aleksey</t>
  </si>
  <si>
    <t>Open (30.03.1994)/25</t>
  </si>
  <si>
    <t>65,70</t>
  </si>
  <si>
    <t>-. Andronuk Oleg</t>
  </si>
  <si>
    <t>Open (08.07.1993)/25</t>
  </si>
  <si>
    <t>66,90</t>
  </si>
  <si>
    <t>Gusev Egor</t>
  </si>
  <si>
    <t>1. Gusev Egor</t>
  </si>
  <si>
    <t>Teen 13-15 (17.06.2005)/13</t>
  </si>
  <si>
    <t>72,80</t>
  </si>
  <si>
    <t>RUS/Chekhov</t>
  </si>
  <si>
    <t>-. Kachlaev Grigoriy</t>
  </si>
  <si>
    <t>Teen 16-17 (10.04.2002)/16</t>
  </si>
  <si>
    <t>67,80</t>
  </si>
  <si>
    <t>-. Syrovatskiy Nikita</t>
  </si>
  <si>
    <t>Teen 16-17 (09.07.2002)/16</t>
  </si>
  <si>
    <t>73,40</t>
  </si>
  <si>
    <t>Laptev Grigoriy</t>
  </si>
  <si>
    <t>1. Laptev Grigoriy</t>
  </si>
  <si>
    <t>Juniors 20-23 (07.02.1996)/23</t>
  </si>
  <si>
    <t>112,5e</t>
  </si>
  <si>
    <t>117,5</t>
  </si>
  <si>
    <t>Kucherenko Vladislav</t>
  </si>
  <si>
    <t>2. Kucherenko Vladislav</t>
  </si>
  <si>
    <t>Juniors 20-23 (12.12.1997)/21</t>
  </si>
  <si>
    <t>72,10</t>
  </si>
  <si>
    <t>-. Abdulmanov Bulat</t>
  </si>
  <si>
    <t>Juniors 20-23 (24.03.1997)/22</t>
  </si>
  <si>
    <t>Karpov Ivan</t>
  </si>
  <si>
    <t>1. Karpov Ivan</t>
  </si>
  <si>
    <t>Open (09.12.1987)/31</t>
  </si>
  <si>
    <t>73,70</t>
  </si>
  <si>
    <t>Radaykin Aleksey</t>
  </si>
  <si>
    <t>2. Radaykin Aleksey</t>
  </si>
  <si>
    <t>Open (12.01.1984)/35</t>
  </si>
  <si>
    <t>73,50</t>
  </si>
  <si>
    <t>3. Teplenin Sergey</t>
  </si>
  <si>
    <t>Open (13.06.1979)/39</t>
  </si>
  <si>
    <t>73,30</t>
  </si>
  <si>
    <t>SPSO 24</t>
  </si>
  <si>
    <t>4. Sidorkin Aleksandr</t>
  </si>
  <si>
    <t>Open (10.11.1986)/32</t>
  </si>
  <si>
    <t>74,20</t>
  </si>
  <si>
    <t>Shalunov Aleksey</t>
  </si>
  <si>
    <t>1. Shalunov Aleksey</t>
  </si>
  <si>
    <t>Masters 45-49 (24.07.1969)/49</t>
  </si>
  <si>
    <t>81,20</t>
  </si>
  <si>
    <t>Dolgosheev Evgeniy</t>
  </si>
  <si>
    <t>1. Dolgosheev Evgeniy</t>
  </si>
  <si>
    <t>Open (26.07.1985)/33</t>
  </si>
  <si>
    <t>81,50</t>
  </si>
  <si>
    <t>Shestakov Aleksey</t>
  </si>
  <si>
    <t>2. Shestakov Aleksey</t>
  </si>
  <si>
    <t>Open (04.04.1993)/26</t>
  </si>
  <si>
    <t>Radkevich Aleksandr</t>
  </si>
  <si>
    <t>3. Radkevich Aleksandr</t>
  </si>
  <si>
    <t>Open (19.06.1990)/28</t>
  </si>
  <si>
    <t>77,90</t>
  </si>
  <si>
    <t>135,0e</t>
  </si>
  <si>
    <t>145,0</t>
  </si>
  <si>
    <t>152,5</t>
  </si>
  <si>
    <t>Eroshenko Nikolay</t>
  </si>
  <si>
    <t>4. Eroshenko Nikolay</t>
  </si>
  <si>
    <t>80,80</t>
  </si>
  <si>
    <t>Silivonets Vladimiv</t>
  </si>
  <si>
    <t>5. Silivonets Vladimiv</t>
  </si>
  <si>
    <t>Open (22.04.1986)/32</t>
  </si>
  <si>
    <t>Gorychev Pavel</t>
  </si>
  <si>
    <t>6. Gorychev Pavel</t>
  </si>
  <si>
    <t>Open (02.02.1989)/30</t>
  </si>
  <si>
    <t>82,30</t>
  </si>
  <si>
    <t>Amirov Stanislav</t>
  </si>
  <si>
    <t>7. Amirov Stanislav</t>
  </si>
  <si>
    <t>Open (13.06.1989)/29</t>
  </si>
  <si>
    <t>80,60</t>
  </si>
  <si>
    <t>Fedotov Maksim</t>
  </si>
  <si>
    <t>8. Fedotov Maksim</t>
  </si>
  <si>
    <t>Open (15.07.1993)/25</t>
  </si>
  <si>
    <t>81,00</t>
  </si>
  <si>
    <t>Sergeev Dmitriy</t>
  </si>
  <si>
    <t>9. Sergeev Dmitriy</t>
  </si>
  <si>
    <t>Open (12.02.1987)/32</t>
  </si>
  <si>
    <t>Efremov Andrey</t>
  </si>
  <si>
    <t>10. Efremov Andrey</t>
  </si>
  <si>
    <t>Open (30.10.1991)/27</t>
  </si>
  <si>
    <t>81,30</t>
  </si>
  <si>
    <t>-. Belyaev Vladimir</t>
  </si>
  <si>
    <t>Open (27.01.1984)/35</t>
  </si>
  <si>
    <t>80,70</t>
  </si>
  <si>
    <t>Kharkov Vladislav</t>
  </si>
  <si>
    <t>1. Kharkov Vladislav</t>
  </si>
  <si>
    <t>Masters 40-44 (15.03.1975)/44</t>
  </si>
  <si>
    <t>RUS/Balakhna</t>
  </si>
  <si>
    <t>Sytenskih Nikolay</t>
  </si>
  <si>
    <t>2. Sytenskih Nikolay</t>
  </si>
  <si>
    <t>Masters 40-44 (27.05.1974)/44</t>
  </si>
  <si>
    <t>80,00</t>
  </si>
  <si>
    <t>Talybov Igor</t>
  </si>
  <si>
    <t>1. Talybov Igor</t>
  </si>
  <si>
    <t>Masters 45-49 (01.05.1970)/48</t>
  </si>
  <si>
    <t>GlobalFit</t>
  </si>
  <si>
    <t>RUS/Vidnoye</t>
  </si>
  <si>
    <t>97,5</t>
  </si>
  <si>
    <t>102,5</t>
  </si>
  <si>
    <t>Chekmarev Sergey</t>
  </si>
  <si>
    <t>1. Chekmarev Sergey</t>
  </si>
  <si>
    <t>Juniors 20-23 (01.06.1995)/23</t>
  </si>
  <si>
    <t>88,40</t>
  </si>
  <si>
    <t>132,5e</t>
  </si>
  <si>
    <t>Kartaviy Stanislav</t>
  </si>
  <si>
    <t>1. Kartaviy Stanislav</t>
  </si>
  <si>
    <t>Open (01.10.1992)/26</t>
  </si>
  <si>
    <t>89,60</t>
  </si>
  <si>
    <t>Yarunin Aleksandr</t>
  </si>
  <si>
    <t>2. Yarunin Aleksandr</t>
  </si>
  <si>
    <t>Open (04.09.1982)/36</t>
  </si>
  <si>
    <t>86,30</t>
  </si>
  <si>
    <t>142,5e</t>
  </si>
  <si>
    <t>Sokolov Vasiliy</t>
  </si>
  <si>
    <t>3. Sokolov Vasiliy</t>
  </si>
  <si>
    <t>Open (10.07.1994)/24</t>
  </si>
  <si>
    <t>88,80</t>
  </si>
  <si>
    <t>Kasyanov Aleksey</t>
  </si>
  <si>
    <t>4. Kasyanov Aleksey</t>
  </si>
  <si>
    <t>Open (07.04.1989)/30</t>
  </si>
  <si>
    <t>85,90</t>
  </si>
  <si>
    <t>132,5</t>
  </si>
  <si>
    <t>137,5</t>
  </si>
  <si>
    <t>5. Parshin Igor</t>
  </si>
  <si>
    <t>Open (23.09.1988)/30</t>
  </si>
  <si>
    <t>84,50</t>
  </si>
  <si>
    <t>115,0e</t>
  </si>
  <si>
    <t>6. Mamichev Vasiliy</t>
  </si>
  <si>
    <t>Open (11.09.1980)/38</t>
  </si>
  <si>
    <t>87,30</t>
  </si>
  <si>
    <t>-. Volkov Sergey</t>
  </si>
  <si>
    <t>Open (22.12.1988)/30</t>
  </si>
  <si>
    <t>RUS/Nelidovo</t>
  </si>
  <si>
    <t>Lukonin Dmitriy</t>
  </si>
  <si>
    <t>-. Lukonin Dmitriy</t>
  </si>
  <si>
    <t>Open (06.12.1981)/37</t>
  </si>
  <si>
    <t>88,20</t>
  </si>
  <si>
    <t>-. Dziraev Vladimir</t>
  </si>
  <si>
    <t>Open (25.07.1981)/37</t>
  </si>
  <si>
    <t>89,20</t>
  </si>
  <si>
    <t>1. Akopyan Arsen</t>
  </si>
  <si>
    <t>-. Mitkin Vladimir</t>
  </si>
  <si>
    <t>Masters 45-49 (22.04.1971)/47</t>
  </si>
  <si>
    <t>RUS/Podolsk</t>
  </si>
  <si>
    <t>Doronichev Anatoliy</t>
  </si>
  <si>
    <t>1. Doronichev Anatoliy</t>
  </si>
  <si>
    <t>Open (12.07.1990)/28</t>
  </si>
  <si>
    <t>99,20</t>
  </si>
  <si>
    <t>Golenkov Oleg</t>
  </si>
  <si>
    <t>2. Golenkov Oleg</t>
  </si>
  <si>
    <t>Open (29.08.1983)/35</t>
  </si>
  <si>
    <t>95,70</t>
  </si>
  <si>
    <t>147,5</t>
  </si>
  <si>
    <t>3. Gusev Anton</t>
  </si>
  <si>
    <t>Open (03.06.1981)/37</t>
  </si>
  <si>
    <t>137,5e</t>
  </si>
  <si>
    <t>142,5</t>
  </si>
  <si>
    <t>4. Boyko Eduard</t>
  </si>
  <si>
    <t>Open (26.09.1990)/28</t>
  </si>
  <si>
    <t>97,80</t>
  </si>
  <si>
    <t>Votincev Ilya</t>
  </si>
  <si>
    <t>1. Votincev Ilya</t>
  </si>
  <si>
    <t>Masters 40-44 (25.12.1977)/41</t>
  </si>
  <si>
    <t>98,10</t>
  </si>
  <si>
    <t>Belov Sergey</t>
  </si>
  <si>
    <t>1. Belov Sergey</t>
  </si>
  <si>
    <t>Masters 45-49 (15.05.1973)/45</t>
  </si>
  <si>
    <t>93,90</t>
  </si>
  <si>
    <t>RUS/Troitsk</t>
  </si>
  <si>
    <t>Zinkevich Pavel</t>
  </si>
  <si>
    <t>1. Zinkevich Pavel</t>
  </si>
  <si>
    <t>Masters 55-59 (26.03.1964)/55</t>
  </si>
  <si>
    <t>98,50</t>
  </si>
  <si>
    <t>RUS/Kazan</t>
  </si>
  <si>
    <t>147,5e</t>
  </si>
  <si>
    <t>Smirnov Leonid</t>
  </si>
  <si>
    <t>1. Smirnov Leonid</t>
  </si>
  <si>
    <t>Masters 60-64 (26.09.1957)/61</t>
  </si>
  <si>
    <t>95,10</t>
  </si>
  <si>
    <t>Bulgak Viorel</t>
  </si>
  <si>
    <t>1. Bulgak Viorel</t>
  </si>
  <si>
    <t>Open (10.10.1985)/33</t>
  </si>
  <si>
    <t>109,90</t>
  </si>
  <si>
    <t>202,5e</t>
  </si>
  <si>
    <t>Zaykin Andrey</t>
  </si>
  <si>
    <t>2. Zaykin Andrey</t>
  </si>
  <si>
    <t>Open (21.01.1984)/35</t>
  </si>
  <si>
    <t>107,80</t>
  </si>
  <si>
    <t>Kan Maksim</t>
  </si>
  <si>
    <t>3. Kan Maksim</t>
  </si>
  <si>
    <t>Open (29.02.1992)/27</t>
  </si>
  <si>
    <t>106,50</t>
  </si>
  <si>
    <t>157,5</t>
  </si>
  <si>
    <t>1. Zaykin Andrey</t>
  </si>
  <si>
    <t>Sherbakov Vladislav</t>
  </si>
  <si>
    <t>1. Sherbakov Vladislav</t>
  </si>
  <si>
    <t>Masters 40-44 (07.08.1977)/41</t>
  </si>
  <si>
    <t>103,60</t>
  </si>
  <si>
    <t>Donskikh Aleksey</t>
  </si>
  <si>
    <t>1. Donskikh Aleksey</t>
  </si>
  <si>
    <t>Open (17.12.1985)/33</t>
  </si>
  <si>
    <t>121,50</t>
  </si>
  <si>
    <t>197,5</t>
  </si>
  <si>
    <t>152,5e</t>
  </si>
  <si>
    <t>Silinenkov Roman</t>
  </si>
  <si>
    <t>1. Silinenkov Roman</t>
  </si>
  <si>
    <t>Masters 40-44 (27.01.1978)/41</t>
  </si>
  <si>
    <t>122,20</t>
  </si>
  <si>
    <t>170,0e</t>
  </si>
  <si>
    <t>177,5e</t>
  </si>
  <si>
    <t>Markov Aleksey</t>
  </si>
  <si>
    <t>2. Markov Aleksey</t>
  </si>
  <si>
    <t>Masters 40-44 (26.02.1977)/42</t>
  </si>
  <si>
    <t>110,20</t>
  </si>
  <si>
    <t>Bichkov Igor</t>
  </si>
  <si>
    <t>1. Bichkov Igor</t>
  </si>
  <si>
    <t>Masters 45-49 (18.06.1970)/48</t>
  </si>
  <si>
    <t>119,20</t>
  </si>
  <si>
    <t>Body Weight Category  155</t>
  </si>
  <si>
    <t>Nikiforov Aleksandr</t>
  </si>
  <si>
    <t>1. Nikiforov Aleksandr</t>
  </si>
  <si>
    <t>Open (18.10.1973)/45</t>
  </si>
  <si>
    <t>148,60</t>
  </si>
  <si>
    <t>RUS/Perm</t>
  </si>
  <si>
    <t>Masters 45-49 (18.10.1973)/45</t>
  </si>
  <si>
    <t>65,0</t>
  </si>
  <si>
    <t>52,6825</t>
  </si>
  <si>
    <t>45,8063</t>
  </si>
  <si>
    <t>56</t>
  </si>
  <si>
    <t>42,6465</t>
  </si>
  <si>
    <t>44,7840</t>
  </si>
  <si>
    <t>40,1555</t>
  </si>
  <si>
    <t>74,0160</t>
  </si>
  <si>
    <t>62,5</t>
  </si>
  <si>
    <t>60,9187</t>
  </si>
  <si>
    <t>60,1185</t>
  </si>
  <si>
    <t>44</t>
  </si>
  <si>
    <t>50,5845</t>
  </si>
  <si>
    <t>44,4963</t>
  </si>
  <si>
    <t>39,5172</t>
  </si>
  <si>
    <t>82,5</t>
  </si>
  <si>
    <t>62,9062</t>
  </si>
  <si>
    <t>57,8425</t>
  </si>
  <si>
    <t>78,4135</t>
  </si>
  <si>
    <t>76,6185</t>
  </si>
  <si>
    <t>76,5562</t>
  </si>
  <si>
    <t>72,0195</t>
  </si>
  <si>
    <t>110,0030</t>
  </si>
  <si>
    <t>99,8450</t>
  </si>
  <si>
    <t>97,0740</t>
  </si>
  <si>
    <t>96,7975</t>
  </si>
  <si>
    <t>155</t>
  </si>
  <si>
    <t>96,3885</t>
  </si>
  <si>
    <t>95,7300</t>
  </si>
  <si>
    <t>93,5830</t>
  </si>
  <si>
    <t>90,3500</t>
  </si>
  <si>
    <t>87,5810</t>
  </si>
  <si>
    <t>86,1840</t>
  </si>
  <si>
    <t>85,6282</t>
  </si>
  <si>
    <t>85,1005</t>
  </si>
  <si>
    <t>84,8550</t>
  </si>
  <si>
    <t>84,5370</t>
  </si>
  <si>
    <t>84,4000</t>
  </si>
  <si>
    <t>83,7405</t>
  </si>
  <si>
    <t>82,6140</t>
  </si>
  <si>
    <t>81,8350</t>
  </si>
  <si>
    <t>81,8290</t>
  </si>
  <si>
    <t>81,5490</t>
  </si>
  <si>
    <t>81,1950</t>
  </si>
  <si>
    <t>79,8577</t>
  </si>
  <si>
    <t>79,8405</t>
  </si>
  <si>
    <t>79,7767</t>
  </si>
  <si>
    <t>79,7118</t>
  </si>
  <si>
    <t>118,1819</t>
  </si>
  <si>
    <t>Masters 55-59</t>
  </si>
  <si>
    <t>113,5402</t>
  </si>
  <si>
    <t>177,5</t>
  </si>
  <si>
    <t>104,6258</t>
  </si>
  <si>
    <t>103,2980</t>
  </si>
  <si>
    <t>101,0151</t>
  </si>
  <si>
    <t>93,4137</t>
  </si>
  <si>
    <t>92,4952</t>
  </si>
  <si>
    <t>92,3894</t>
  </si>
  <si>
    <t>90,2206</t>
  </si>
  <si>
    <t>85,2116</t>
  </si>
  <si>
    <t>83,8358</t>
  </si>
  <si>
    <t>82,1908</t>
  </si>
  <si>
    <t>79,9337</t>
  </si>
  <si>
    <t>71,8211</t>
  </si>
  <si>
    <t>Kuznetsova Kseniya</t>
  </si>
  <si>
    <t>1. Kuznetsova Kseniya</t>
  </si>
  <si>
    <t>Open (01.11.1989)/29</t>
  </si>
  <si>
    <t>47,70</t>
  </si>
  <si>
    <t>92,5e</t>
  </si>
  <si>
    <t>67,5e</t>
  </si>
  <si>
    <t>70,0</t>
  </si>
  <si>
    <t>Skorinova Marina</t>
  </si>
  <si>
    <t>1. Skorinova Marina</t>
  </si>
  <si>
    <t>Teen 13-15 (29.12.2005)/13</t>
  </si>
  <si>
    <t>54,20</t>
  </si>
  <si>
    <t>75,0e</t>
  </si>
  <si>
    <t>35,0e</t>
  </si>
  <si>
    <t>37,5e</t>
  </si>
  <si>
    <t>40,0e</t>
  </si>
  <si>
    <t>Pantuhina Kseniya</t>
  </si>
  <si>
    <t>1. Pantuhina Kseniya</t>
  </si>
  <si>
    <t>Open (21.10.1992)/26</t>
  </si>
  <si>
    <t>60,00</t>
  </si>
  <si>
    <t>RUS/Orekhovo-Zuyevo</t>
  </si>
  <si>
    <t>32,5e</t>
  </si>
  <si>
    <t>37,5</t>
  </si>
  <si>
    <t>Sidorova Olga</t>
  </si>
  <si>
    <t>1. Sidorova Olga</t>
  </si>
  <si>
    <t>Masters 50-54 (29.04.1966)/52</t>
  </si>
  <si>
    <t>59,90</t>
  </si>
  <si>
    <t>Kurdyukova Ekaterina</t>
  </si>
  <si>
    <t>1. Kurdyukova Ekaterina</t>
  </si>
  <si>
    <t>Open (07.10.1981)/37</t>
  </si>
  <si>
    <t>79,00</t>
  </si>
  <si>
    <t>115,0</t>
  </si>
  <si>
    <t>Tulyakov N.</t>
  </si>
  <si>
    <t>Smetankin Aleksey</t>
  </si>
  <si>
    <t>1. Smetankin Aleksey</t>
  </si>
  <si>
    <t>Children 10 (26.09.2008)/10</t>
  </si>
  <si>
    <t>59,20</t>
  </si>
  <si>
    <t>70,0e</t>
  </si>
  <si>
    <t>42,5e</t>
  </si>
  <si>
    <t>Pisarenko Evgeniy</t>
  </si>
  <si>
    <t>1. Pisarenko Evgeniy</t>
  </si>
  <si>
    <t>Open (15.09.1984)/34</t>
  </si>
  <si>
    <t>73,90</t>
  </si>
  <si>
    <t>Lukyanov Dmitriy</t>
  </si>
  <si>
    <t>2. Lukyanov Dmitriy</t>
  </si>
  <si>
    <t>Open (29.07.1980)/38</t>
  </si>
  <si>
    <t>3. Orlov Sergey</t>
  </si>
  <si>
    <t>167,5</t>
  </si>
  <si>
    <t>Masters 45-49 (10.04.1972)/46</t>
  </si>
  <si>
    <t>71,90</t>
  </si>
  <si>
    <t>RUS/Zheleznodorozhnyy</t>
  </si>
  <si>
    <t>Chekulaev Anton</t>
  </si>
  <si>
    <t>1. Chekulaev Anton</t>
  </si>
  <si>
    <t>Juniors 20-23 (08.03.1997)/22</t>
  </si>
  <si>
    <t>82,00</t>
  </si>
  <si>
    <t>2. Kasyanov Ilya</t>
  </si>
  <si>
    <t>Aliev Ramil</t>
  </si>
  <si>
    <t>1. Aliev Ramil</t>
  </si>
  <si>
    <t>Open (12.03.1987)/32</t>
  </si>
  <si>
    <t>81,80</t>
  </si>
  <si>
    <t>1. Sytenskih Nikolay</t>
  </si>
  <si>
    <t>Sgibnev Anton</t>
  </si>
  <si>
    <t>1. Sgibnev Anton</t>
  </si>
  <si>
    <t>Open (26.04.1986)/32</t>
  </si>
  <si>
    <t>89,50</t>
  </si>
  <si>
    <t>255,0e</t>
  </si>
  <si>
    <t>167,5e</t>
  </si>
  <si>
    <t>240,0e</t>
  </si>
  <si>
    <t>257,5</t>
  </si>
  <si>
    <t>Ivantsov Aleksey</t>
  </si>
  <si>
    <t>2. Ivantsov Aleksey</t>
  </si>
  <si>
    <t>Open (18.10.1983)/35</t>
  </si>
  <si>
    <t>Global fit</t>
  </si>
  <si>
    <t>217,5</t>
  </si>
  <si>
    <t>Tarasov Anton</t>
  </si>
  <si>
    <t>1. Tarasov Anton</t>
  </si>
  <si>
    <t>Open (09.11.1986)/32</t>
  </si>
  <si>
    <t>Trofimchuk Aleksandr</t>
  </si>
  <si>
    <t>2. Trofimchuk Aleksandr</t>
  </si>
  <si>
    <t>Open (21.02.1990)/29</t>
  </si>
  <si>
    <t>96,90</t>
  </si>
  <si>
    <t>RUS/Zelenograd</t>
  </si>
  <si>
    <t>Konovalov Aleksey</t>
  </si>
  <si>
    <t>1. Konovalov Aleksey</t>
  </si>
  <si>
    <t>Open (15.02.1988)/31</t>
  </si>
  <si>
    <t>104,90</t>
  </si>
  <si>
    <t>Mashushin Oleg</t>
  </si>
  <si>
    <t>2. Mashushin Oleg</t>
  </si>
  <si>
    <t>Open (21.02.1983)/36</t>
  </si>
  <si>
    <t>Volkov Aleksey</t>
  </si>
  <si>
    <t>3. Volkov Aleksey</t>
  </si>
  <si>
    <t>Open (27.05.1991)/27</t>
  </si>
  <si>
    <t>104,80</t>
  </si>
  <si>
    <t>-. Belyakov Andrey</t>
  </si>
  <si>
    <t>Open (23.02.1984)/35</t>
  </si>
  <si>
    <t>Open (14.10.1995)/23</t>
  </si>
  <si>
    <t>166,1755</t>
  </si>
  <si>
    <t>270,0880</t>
  </si>
  <si>
    <t>312,5</t>
  </si>
  <si>
    <t>217,1562</t>
  </si>
  <si>
    <t>135,4973</t>
  </si>
  <si>
    <t>304,2086</t>
  </si>
  <si>
    <t>Children</t>
  </si>
  <si>
    <t>Children 10</t>
  </si>
  <si>
    <t>158,6585</t>
  </si>
  <si>
    <t>345,0</t>
  </si>
  <si>
    <t>258,4740</t>
  </si>
  <si>
    <t>432,5</t>
  </si>
  <si>
    <t>229,3548</t>
  </si>
  <si>
    <t>595,0</t>
  </si>
  <si>
    <t>375,9805</t>
  </si>
  <si>
    <t>680,0</t>
  </si>
  <si>
    <t>360,7400</t>
  </si>
  <si>
    <t>400,0</t>
  </si>
  <si>
    <t>255,2800</t>
  </si>
  <si>
    <t>695,0</t>
  </si>
  <si>
    <t>408,1735</t>
  </si>
  <si>
    <t>530,0</t>
  </si>
  <si>
    <t>356,3190</t>
  </si>
  <si>
    <t>650,0</t>
  </si>
  <si>
    <t>353,5350</t>
  </si>
  <si>
    <t>620,0</t>
  </si>
  <si>
    <t>345,3400</t>
  </si>
  <si>
    <t>510,0</t>
  </si>
  <si>
    <t>340,6800</t>
  </si>
  <si>
    <t>535,0</t>
  </si>
  <si>
    <t>300,7770</t>
  </si>
  <si>
    <t>437,5</t>
  </si>
  <si>
    <t>294,4375</t>
  </si>
  <si>
    <t>495,0</t>
  </si>
  <si>
    <t>292,9410</t>
  </si>
  <si>
    <t>287,5780</t>
  </si>
  <si>
    <t>517,5</t>
  </si>
  <si>
    <t>281,5717</t>
  </si>
  <si>
    <t>367,5</t>
  </si>
  <si>
    <t>228,9525</t>
  </si>
  <si>
    <t>537,5</t>
  </si>
  <si>
    <t>303,5800</t>
  </si>
  <si>
    <t>354,1996</t>
  </si>
  <si>
    <t>390,0</t>
  </si>
  <si>
    <t>286,5839</t>
  </si>
  <si>
    <t>422,5</t>
  </si>
  <si>
    <t>275,6897</t>
  </si>
  <si>
    <t>Kuderick Scott</t>
  </si>
  <si>
    <t>Open (28.02.1974)/45</t>
  </si>
  <si>
    <t>91,30</t>
  </si>
  <si>
    <t>USA/Usa</t>
  </si>
  <si>
    <t>1. Kuderick Scott</t>
  </si>
  <si>
    <t>Masters 45-49 (28.02.1974)/45</t>
  </si>
  <si>
    <t>445,0</t>
  </si>
  <si>
    <t>270,6753</t>
  </si>
  <si>
    <t>Gloss</t>
  </si>
  <si>
    <t>98,70</t>
  </si>
  <si>
    <t>Berdnicov Vladimir</t>
  </si>
  <si>
    <t>1. Berdnicov Vladimir</t>
  </si>
  <si>
    <t>Open (25.02.1987)/32</t>
  </si>
  <si>
    <t>74,70</t>
  </si>
  <si>
    <t>Tukaev Anton</t>
  </si>
  <si>
    <t>1. Tukaev Anton</t>
  </si>
  <si>
    <t>Open (03.07.1990)/28</t>
  </si>
  <si>
    <t>78,90</t>
  </si>
  <si>
    <t>-. Myachik Sergey</t>
  </si>
  <si>
    <t>Open (25.08.1979)/39</t>
  </si>
  <si>
    <t>88,70</t>
  </si>
  <si>
    <t>Zakharov Sergey</t>
  </si>
  <si>
    <t>1. Zakharov Sergey</t>
  </si>
  <si>
    <t>Open (20.03.1991)/28</t>
  </si>
  <si>
    <t>Iliyn Andrey</t>
  </si>
  <si>
    <t>1. Iliyn Andrey</t>
  </si>
  <si>
    <t>Masters 40-44 (28.06.1976)/42</t>
  </si>
  <si>
    <t>99,00</t>
  </si>
  <si>
    <t>146,1375</t>
  </si>
  <si>
    <t>124,3080</t>
  </si>
  <si>
    <t>119,5380</t>
  </si>
  <si>
    <t>145,8916</t>
  </si>
  <si>
    <t>125,1699</t>
  </si>
  <si>
    <t>Gutova Anna</t>
  </si>
  <si>
    <t>1. Gutova Anna</t>
  </si>
  <si>
    <t>Open (04.04.1988)/31</t>
  </si>
  <si>
    <t>66,50</t>
  </si>
  <si>
    <t>Deev Aleksandr</t>
  </si>
  <si>
    <t>1. Deev Aleksandr</t>
  </si>
  <si>
    <t>Open (22.07.1986)/32</t>
  </si>
  <si>
    <t>Simutkin Aleksey</t>
  </si>
  <si>
    <t>1. Simutkin Aleksey</t>
  </si>
  <si>
    <t>Open (21.06.1986)/32</t>
  </si>
  <si>
    <t>89,70</t>
  </si>
  <si>
    <t>Smirnov Aleksandr</t>
  </si>
  <si>
    <t>2. Smirnov Aleksandr</t>
  </si>
  <si>
    <t>Open (28.03.1985)/34</t>
  </si>
  <si>
    <t>85,10</t>
  </si>
  <si>
    <t>3. Lukonin Dmitriy</t>
  </si>
  <si>
    <t>Verzilov Sergey</t>
  </si>
  <si>
    <t>1. Verzilov Sergey</t>
  </si>
  <si>
    <t>Open (15.10.1986)/32</t>
  </si>
  <si>
    <t>97,70</t>
  </si>
  <si>
    <t>Ushakov Roman</t>
  </si>
  <si>
    <t>2. Ushakov Roman</t>
  </si>
  <si>
    <t>Open (27.11.1984)/34</t>
  </si>
  <si>
    <t>96,30</t>
  </si>
  <si>
    <t>Demidov Dmitriy</t>
  </si>
  <si>
    <t>1. Demidov Dmitriy</t>
  </si>
  <si>
    <t>Juniors 20-23 (06.04.1998)/21</t>
  </si>
  <si>
    <t>125,70</t>
  </si>
  <si>
    <t>270,0</t>
  </si>
  <si>
    <t>282,5</t>
  </si>
  <si>
    <t>Open (06.04.1998)/21</t>
  </si>
  <si>
    <t>Petrov Aleksey</t>
  </si>
  <si>
    <t>1. Petrov Aleksey</t>
  </si>
  <si>
    <t>Masters 40-44 (25.03.1975)/44</t>
  </si>
  <si>
    <t>130,30</t>
  </si>
  <si>
    <t>100,1220</t>
  </si>
  <si>
    <t>153,8778</t>
  </si>
  <si>
    <t>149,7232</t>
  </si>
  <si>
    <t>131,7950</t>
  </si>
  <si>
    <t>130,0420</t>
  </si>
  <si>
    <t>115,5743</t>
  </si>
  <si>
    <t>107,4655</t>
  </si>
  <si>
    <t>97,4689</t>
  </si>
  <si>
    <t>137,9991</t>
  </si>
  <si>
    <t>165,1</t>
  </si>
  <si>
    <t>Meet director: Umerenkov Igor</t>
  </si>
  <si>
    <t>Head Referee: Ustinov Yriy</t>
  </si>
  <si>
    <t>Side Referyy Right: Enina Elena</t>
  </si>
  <si>
    <t>4th OPEN CUP EUROPE
AWPC standart soft eq. benchpress
Moscow 7 April, 2019 г.</t>
  </si>
  <si>
    <t>4th OPEN CUP EUROPE
WPC standart soft eq. benchpress
Moscow 7 April, 2019 г.</t>
  </si>
  <si>
    <t>4-th OPEN EUROPE CHAMPIONS CUP
AWPA multi ply powerlifting
Moscow 7 April, 2019 г.</t>
  </si>
  <si>
    <t>4-th OPEN EUROPE CHAMPIONS CUP
AWPA raw powerlifting
Moscow 7 April, 2019 г.</t>
  </si>
  <si>
    <t>4-th OPEN EUROPE CHAMPIONS CUP
AWPA raw benchpress
Moscow 7 April, 2019 г.</t>
  </si>
  <si>
    <t>4-th OPEN EUROPE CHAMPIONS CUP
AWPA multi ply deadlift
Moscow 7 April, 2019 г.</t>
  </si>
  <si>
    <t>4-th OPEN EUROPE CHAMPIONS CUP
AWPA single ply deadlift
Moscow 7 April, 2019 г.</t>
  </si>
  <si>
    <t>4-th OPEN EUROPE CHAMPIONS CUP
AWPA raw deadlift
Moscow 7 April, 2019 г.</t>
  </si>
  <si>
    <t>4-th OPEN EUROPE CHAMPIONS CUP
WPA raw powerlifting
Moscow 7 April, 2019 г.</t>
  </si>
  <si>
    <t>4-th OPEN EUROPE CHAMPIONS CUP
WPA raw benchpress
Moscow 7 April, 2019 г.</t>
  </si>
  <si>
    <t>4-th OPEN EUROPE CHAMPIONS CUP
WPA multi ply deadlift
Moscow 7 April, 2019 г.</t>
  </si>
  <si>
    <t>4-th OPEN EUROPE CHAMPIONS CUP
WPA single ply deadlift
Moscow 7 April, 2019 г.</t>
  </si>
  <si>
    <t>4-th OPEN EUROPE CHAMPIONS CUP
WPA raw deadlift
Moscow 7 April, 2019 г.</t>
  </si>
  <si>
    <t>4-th OPEN EUROPE CHAMPIONS CUP
Multy-repeat BP AWPC 1/2 bw. 
Moscow 7 April, 2019 г.</t>
  </si>
  <si>
    <t>Bench press for rpt.</t>
  </si>
  <si>
    <t>Weight</t>
  </si>
  <si>
    <t>Rpt</t>
  </si>
  <si>
    <t>27,5</t>
  </si>
  <si>
    <t>39,0</t>
  </si>
  <si>
    <t>1. Shadrina Ilariya</t>
  </si>
  <si>
    <t>Juniors 20-23 (20.08.1995)/23</t>
  </si>
  <si>
    <t>54,90</t>
  </si>
  <si>
    <t>32,0</t>
  </si>
  <si>
    <t>Shadrina Ilariya</t>
  </si>
  <si>
    <t>880,0</t>
  </si>
  <si>
    <t>933,3280</t>
  </si>
  <si>
    <t>1072,5</t>
  </si>
  <si>
    <t>1195,1940</t>
  </si>
  <si>
    <t>4-th OPEN EUROPE CHAMPIONS CUP
Multy-repeat BP AWPC 1 bw. 
Moscow 7 April, 2019 г.</t>
  </si>
  <si>
    <t>21,0</t>
  </si>
  <si>
    <t>1. Kucherenko Vladislav</t>
  </si>
  <si>
    <t>72,5</t>
  </si>
  <si>
    <t>18,0</t>
  </si>
  <si>
    <t>1. Kolistratov Dmitriy</t>
  </si>
  <si>
    <t>Open (08.03.1977)/42</t>
  </si>
  <si>
    <t>72,00</t>
  </si>
  <si>
    <t>1. Kalinin Sergey</t>
  </si>
  <si>
    <t>Masters 40-49 (19.11.1975)/43</t>
  </si>
  <si>
    <t>74,00</t>
  </si>
  <si>
    <t>31,0</t>
  </si>
  <si>
    <t>1. Radkevich Aleksandr</t>
  </si>
  <si>
    <t>33,0</t>
  </si>
  <si>
    <t>Masters 40-49 (27.05.1974)/44</t>
  </si>
  <si>
    <t>20,0</t>
  </si>
  <si>
    <t>1. Barmin Sergey</t>
  </si>
  <si>
    <t>Open (08.11.1989)/29</t>
  </si>
  <si>
    <t>91,20</t>
  </si>
  <si>
    <t>14,0</t>
  </si>
  <si>
    <t>Masters 40-49 (25.12.1977)/41</t>
  </si>
  <si>
    <t>27,0</t>
  </si>
  <si>
    <t>-. Smirnov Leonid</t>
  </si>
  <si>
    <t>Masters 60+ (26.09.1957)/61</t>
  </si>
  <si>
    <t>5,0</t>
  </si>
  <si>
    <t>-. Zaykin Andrey</t>
  </si>
  <si>
    <t>1365,0</t>
  </si>
  <si>
    <t>1291,6313</t>
  </si>
  <si>
    <t>1305,0</t>
  </si>
  <si>
    <t>925,8323</t>
  </si>
  <si>
    <t>Kolistratov Dmitriy</t>
  </si>
  <si>
    <t>2827,5</t>
  </si>
  <si>
    <t>2008,0905</t>
  </si>
  <si>
    <t>2640,0</t>
  </si>
  <si>
    <t>1768,6680</t>
  </si>
  <si>
    <t>Barmin Sergey</t>
  </si>
  <si>
    <t>2867,5</t>
  </si>
  <si>
    <t>1742,0063</t>
  </si>
  <si>
    <t>1400,0</t>
  </si>
  <si>
    <t>815,9200</t>
  </si>
  <si>
    <t>Kalinin Sergey</t>
  </si>
  <si>
    <t>Masters 40-49</t>
  </si>
  <si>
    <t>2325,0</t>
  </si>
  <si>
    <t>1667,0458</t>
  </si>
  <si>
    <t>2700,0</t>
  </si>
  <si>
    <t>1598,4310</t>
  </si>
  <si>
    <t>1600,0</t>
  </si>
  <si>
    <t>1097,7367</t>
  </si>
  <si>
    <t>1216,4863</t>
  </si>
  <si>
    <t>2047,5</t>
  </si>
  <si>
    <t>Skoblikov Aleksandr</t>
  </si>
  <si>
    <t>1228,0183</t>
  </si>
  <si>
    <t>1815,0</t>
  </si>
  <si>
    <t>1922,1038</t>
  </si>
  <si>
    <t>2775,0</t>
  </si>
  <si>
    <t>Mazaev Sergey</t>
  </si>
  <si>
    <t>2335,3313</t>
  </si>
  <si>
    <t>3375,0</t>
  </si>
  <si>
    <t>2398,7049</t>
  </si>
  <si>
    <t>4100,0</t>
  </si>
  <si>
    <t>Sukhoparov Sergey</t>
  </si>
  <si>
    <t>2760,0749</t>
  </si>
  <si>
    <t>4500,0</t>
  </si>
  <si>
    <t>Galitsin Gennadiy</t>
  </si>
  <si>
    <t>3074,8770</t>
  </si>
  <si>
    <t>5330,0</t>
  </si>
  <si>
    <t>Bardin Vladimir</t>
  </si>
  <si>
    <t>1417,3251</t>
  </si>
  <si>
    <t>2275,0</t>
  </si>
  <si>
    <t>Komrakov Nikita</t>
  </si>
  <si>
    <t>1716,0410</t>
  </si>
  <si>
    <t>Karnaushkina Irina</t>
  </si>
  <si>
    <t>52,0</t>
  </si>
  <si>
    <t>101,90</t>
  </si>
  <si>
    <t>Open (13.01.1985)/34</t>
  </si>
  <si>
    <t>1. Bardin Vladimir</t>
  </si>
  <si>
    <t>RUS/Odintsovo</t>
  </si>
  <si>
    <t>97,30</t>
  </si>
  <si>
    <t>Masters 40-49 (09.05.1977)/41</t>
  </si>
  <si>
    <t>1. Skoblikov Aleksandr</t>
  </si>
  <si>
    <t>41,0</t>
  </si>
  <si>
    <t>BLR/Minsk</t>
  </si>
  <si>
    <t>Open (15.11.1981)/37</t>
  </si>
  <si>
    <t>1. Sukhoparov Sergey</t>
  </si>
  <si>
    <t>Open (15.04.1985)/33</t>
  </si>
  <si>
    <t>1. Galitsin Gennadiy</t>
  </si>
  <si>
    <t>26,0</t>
  </si>
  <si>
    <t>87,5</t>
  </si>
  <si>
    <t>87,20</t>
  </si>
  <si>
    <t>Juniors 20-23 (23.06.1995)/23</t>
  </si>
  <si>
    <t>1. Komrakov Nikita</t>
  </si>
  <si>
    <t>22,0</t>
  </si>
  <si>
    <t>Masters 40-49 (28.11.1974)/44</t>
  </si>
  <si>
    <t>37,0</t>
  </si>
  <si>
    <t>RUS/Tolyatti</t>
  </si>
  <si>
    <t>Open (22.09.1979)/39</t>
  </si>
  <si>
    <t>2. Mazaev Sergey</t>
  </si>
  <si>
    <t>28,0</t>
  </si>
  <si>
    <t>49,70</t>
  </si>
  <si>
    <t>Masters 40-49 (30.06.1972)/46</t>
  </si>
  <si>
    <t>1. Karnaushkina Irina</t>
  </si>
  <si>
    <t>4-th OPEN EUROPE CHAMPIONS CUP                                           Multy-repeat benchpress WPC single body weight
Moscow 7 April, 2019 г.</t>
  </si>
  <si>
    <t>Submasters 33-39 (02.01.1980)/39</t>
  </si>
  <si>
    <t>Submasters 33-39</t>
  </si>
  <si>
    <t>Submasters 33-39 (11.10.1981)/37</t>
  </si>
  <si>
    <t>Submasters 33-39 (21.01.1984)/35</t>
  </si>
  <si>
    <t>Submasters 33-39 (07.10.1985)/33</t>
  </si>
  <si>
    <t>Submasters 33-39 (21.11.1985)/33</t>
  </si>
  <si>
    <t>Submasters 33-39 (05.02.1986)/33</t>
  </si>
  <si>
    <t>Submasters 33-39 (11.12.1979)/39</t>
  </si>
  <si>
    <t>Submasters 33-39 (19.05.1983)/35</t>
  </si>
  <si>
    <t>Submasters 33-39 (23.04.1981)/37</t>
  </si>
  <si>
    <t>Submasters 33-39 (22.12.1985)/33</t>
  </si>
  <si>
    <t>Submasters 33-39 (14.11.1985)/33</t>
  </si>
  <si>
    <t>Head secretary: Rode Aleksandr</t>
  </si>
  <si>
    <t>Side Referyy Left: Umerenkova Yuliya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</si>
</sst>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 indent="1"/>
    </xf>
    <xf numFmtId="49" fontId="7" fillId="0" borderId="0" xfId="0" applyNumberFormat="1" applyFont="1" applyFill="1" applyBorder="1" applyAlignment="1">
      <alignment horizontal="left" indent="1"/>
    </xf>
    <xf numFmtId="49" fontId="7" fillId="0" borderId="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0" fontId="8" fillId="0" borderId="0" xfId="0" applyFont="1"/>
    <xf numFmtId="49" fontId="4" fillId="0" borderId="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topLeftCell="A5" workbookViewId="0">
      <selection activeCell="E27" sqref="E27:F31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5.2851562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54" t="s">
        <v>1098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.1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0</v>
      </c>
      <c r="B3" s="62" t="s">
        <v>10</v>
      </c>
      <c r="C3" s="62" t="s">
        <v>8</v>
      </c>
      <c r="D3" s="48" t="s">
        <v>1025</v>
      </c>
      <c r="E3" s="48" t="s">
        <v>1</v>
      </c>
      <c r="F3" s="63" t="s">
        <v>12</v>
      </c>
      <c r="G3" s="60" t="s">
        <v>3</v>
      </c>
      <c r="H3" s="48"/>
      <c r="I3" s="48"/>
      <c r="J3" s="50"/>
      <c r="K3" s="46" t="s">
        <v>108</v>
      </c>
      <c r="L3" s="48" t="s">
        <v>6</v>
      </c>
      <c r="M3" s="50" t="s">
        <v>5</v>
      </c>
    </row>
    <row r="4" spans="1:13" s="1" customFormat="1" ht="23.25" customHeight="1" thickBot="1">
      <c r="A4" s="61"/>
      <c r="B4" s="49"/>
      <c r="C4" s="49"/>
      <c r="D4" s="49"/>
      <c r="E4" s="49"/>
      <c r="F4" s="64"/>
      <c r="G4" s="6">
        <v>1</v>
      </c>
      <c r="H4" s="7">
        <v>2</v>
      </c>
      <c r="I4" s="7">
        <v>3</v>
      </c>
      <c r="J4" s="8" t="s">
        <v>7</v>
      </c>
      <c r="K4" s="47"/>
      <c r="L4" s="49"/>
      <c r="M4" s="51"/>
    </row>
    <row r="5" spans="1:13" s="5" customFormat="1" ht="15">
      <c r="A5" s="52" t="s">
        <v>137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4"/>
    </row>
    <row r="6" spans="1:13" s="5" customFormat="1">
      <c r="A6" s="19" t="s">
        <v>1051</v>
      </c>
      <c r="B6" s="16" t="s">
        <v>1052</v>
      </c>
      <c r="C6" s="16" t="s">
        <v>1053</v>
      </c>
      <c r="D6" s="16" t="str">
        <f>"0,9102"</f>
        <v>0,9102</v>
      </c>
      <c r="E6" s="19" t="s">
        <v>28</v>
      </c>
      <c r="F6" s="19" t="s">
        <v>591</v>
      </c>
      <c r="G6" s="16" t="s">
        <v>235</v>
      </c>
      <c r="H6" s="16" t="s">
        <v>684</v>
      </c>
      <c r="I6" s="16" t="s">
        <v>220</v>
      </c>
      <c r="J6" s="20"/>
      <c r="K6" s="19" t="str">
        <f>"110,0"</f>
        <v>110,0</v>
      </c>
      <c r="L6" s="16" t="str">
        <f>"100,1220"</f>
        <v>100,1220</v>
      </c>
      <c r="M6" s="19"/>
    </row>
    <row r="7" spans="1:13" s="5" customFormat="1">
      <c r="A7" s="4"/>
      <c r="E7" s="4"/>
      <c r="F7" s="4"/>
      <c r="K7" s="4"/>
      <c r="M7" s="4"/>
    </row>
    <row r="8" spans="1:13" ht="15">
      <c r="A8" s="45" t="s">
        <v>155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3">
      <c r="A9" s="19" t="s">
        <v>1055</v>
      </c>
      <c r="B9" s="16" t="s">
        <v>1056</v>
      </c>
      <c r="C9" s="16" t="s">
        <v>619</v>
      </c>
      <c r="D9" s="16" t="str">
        <f>"0,7005"</f>
        <v>0,7005</v>
      </c>
      <c r="E9" s="19" t="s">
        <v>681</v>
      </c>
      <c r="F9" s="19" t="s">
        <v>682</v>
      </c>
      <c r="G9" s="16" t="s">
        <v>199</v>
      </c>
      <c r="H9" s="16" t="s">
        <v>200</v>
      </c>
      <c r="I9" s="20" t="s">
        <v>193</v>
      </c>
      <c r="J9" s="20"/>
      <c r="K9" s="19" t="str">
        <f>"165,0"</f>
        <v>165,0</v>
      </c>
      <c r="L9" s="16" t="str">
        <f>"115,5743"</f>
        <v>115,5743</v>
      </c>
      <c r="M9" s="19"/>
    </row>
    <row r="11" spans="1:13" ht="15">
      <c r="A11" s="45" t="s">
        <v>23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3">
      <c r="A12" s="9" t="s">
        <v>1058</v>
      </c>
      <c r="B12" s="10" t="s">
        <v>1059</v>
      </c>
      <c r="C12" s="10" t="s">
        <v>1060</v>
      </c>
      <c r="D12" s="10" t="str">
        <f>"0,6130"</f>
        <v>0,6130</v>
      </c>
      <c r="E12" s="9" t="s">
        <v>620</v>
      </c>
      <c r="F12" s="9" t="s">
        <v>19</v>
      </c>
      <c r="G12" s="10" t="s">
        <v>188</v>
      </c>
      <c r="H12" s="11" t="s">
        <v>80</v>
      </c>
      <c r="I12" s="10" t="s">
        <v>40</v>
      </c>
      <c r="J12" s="11"/>
      <c r="K12" s="9" t="str">
        <f>"215,0"</f>
        <v>215,0</v>
      </c>
      <c r="L12" s="10" t="str">
        <f>"131,7950"</f>
        <v>131,7950</v>
      </c>
      <c r="M12" s="9"/>
    </row>
    <row r="13" spans="1:13">
      <c r="A13" s="17" t="s">
        <v>1062</v>
      </c>
      <c r="B13" s="15" t="s">
        <v>1063</v>
      </c>
      <c r="C13" s="15" t="s">
        <v>1064</v>
      </c>
      <c r="D13" s="15" t="str">
        <f>"0,6321"</f>
        <v>0,6321</v>
      </c>
      <c r="E13" s="17" t="s">
        <v>620</v>
      </c>
      <c r="F13" s="17" t="s">
        <v>19</v>
      </c>
      <c r="G13" s="15" t="s">
        <v>778</v>
      </c>
      <c r="H13" s="15" t="s">
        <v>193</v>
      </c>
      <c r="I13" s="18" t="s">
        <v>390</v>
      </c>
      <c r="J13" s="18"/>
      <c r="K13" s="17" t="str">
        <f>"170,0"</f>
        <v>170,0</v>
      </c>
      <c r="L13" s="15" t="str">
        <f>"107,4655"</f>
        <v>107,4655</v>
      </c>
      <c r="M13" s="17"/>
    </row>
    <row r="14" spans="1:13">
      <c r="A14" s="12" t="s">
        <v>1065</v>
      </c>
      <c r="B14" s="13" t="s">
        <v>721</v>
      </c>
      <c r="C14" s="13" t="s">
        <v>722</v>
      </c>
      <c r="D14" s="13" t="str">
        <f>"0,6188"</f>
        <v>0,6188</v>
      </c>
      <c r="E14" s="12" t="s">
        <v>28</v>
      </c>
      <c r="F14" s="12" t="s">
        <v>19</v>
      </c>
      <c r="G14" s="14" t="s">
        <v>778</v>
      </c>
      <c r="H14" s="13" t="s">
        <v>778</v>
      </c>
      <c r="I14" s="14"/>
      <c r="J14" s="14"/>
      <c r="K14" s="12" t="str">
        <f>"157,5"</f>
        <v>157,5</v>
      </c>
      <c r="L14" s="13" t="str">
        <f>"97,4689"</f>
        <v>97,4689</v>
      </c>
      <c r="M14" s="12"/>
    </row>
    <row r="16" spans="1:13" ht="15">
      <c r="A16" s="45" t="s">
        <v>52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3">
      <c r="A17" s="9" t="s">
        <v>1067</v>
      </c>
      <c r="B17" s="10" t="s">
        <v>1068</v>
      </c>
      <c r="C17" s="10" t="s">
        <v>1069</v>
      </c>
      <c r="D17" s="10" t="str">
        <f>"0,5871"</f>
        <v>0,5871</v>
      </c>
      <c r="E17" s="9" t="s">
        <v>28</v>
      </c>
      <c r="F17" s="9" t="s">
        <v>29</v>
      </c>
      <c r="G17" s="10" t="s">
        <v>274</v>
      </c>
      <c r="H17" s="10" t="s">
        <v>275</v>
      </c>
      <c r="I17" s="10" t="s">
        <v>116</v>
      </c>
      <c r="J17" s="11"/>
      <c r="K17" s="9" t="str">
        <f>"255,0"</f>
        <v>255,0</v>
      </c>
      <c r="L17" s="10" t="str">
        <f>"149,7232"</f>
        <v>149,7232</v>
      </c>
      <c r="M17" s="9"/>
    </row>
    <row r="18" spans="1:13">
      <c r="A18" s="12" t="s">
        <v>1071</v>
      </c>
      <c r="B18" s="13" t="s">
        <v>1072</v>
      </c>
      <c r="C18" s="13" t="s">
        <v>1073</v>
      </c>
      <c r="D18" s="13" t="str">
        <f>"0,5911"</f>
        <v>0,5911</v>
      </c>
      <c r="E18" s="12" t="s">
        <v>28</v>
      </c>
      <c r="F18" s="12" t="s">
        <v>591</v>
      </c>
      <c r="G18" s="13" t="s">
        <v>180</v>
      </c>
      <c r="H18" s="13" t="s">
        <v>239</v>
      </c>
      <c r="I18" s="14" t="s">
        <v>97</v>
      </c>
      <c r="J18" s="14"/>
      <c r="K18" s="12" t="str">
        <f>"220,0"</f>
        <v>220,0</v>
      </c>
      <c r="L18" s="13" t="str">
        <f>"130,0420"</f>
        <v>130,0420</v>
      </c>
      <c r="M18" s="12"/>
    </row>
    <row r="20" spans="1:13" ht="15">
      <c r="A20" s="45" t="s">
        <v>74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2" spans="1:13" ht="15">
      <c r="A22" s="45" t="s">
        <v>223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3">
      <c r="A23" s="9" t="s">
        <v>1075</v>
      </c>
      <c r="B23" s="10" t="s">
        <v>1076</v>
      </c>
      <c r="C23" s="10" t="s">
        <v>1077</v>
      </c>
      <c r="D23" s="10" t="str">
        <f>"0,5447"</f>
        <v>0,5447</v>
      </c>
      <c r="E23" s="9" t="s">
        <v>28</v>
      </c>
      <c r="F23" s="9" t="s">
        <v>29</v>
      </c>
      <c r="G23" s="10" t="s">
        <v>464</v>
      </c>
      <c r="H23" s="10" t="s">
        <v>1078</v>
      </c>
      <c r="I23" s="10" t="s">
        <v>1079</v>
      </c>
      <c r="J23" s="11"/>
      <c r="K23" s="9" t="str">
        <f>"282,5"</f>
        <v>282,5</v>
      </c>
      <c r="L23" s="10" t="str">
        <f>"153,8778"</f>
        <v>153,8778</v>
      </c>
      <c r="M23" s="9"/>
    </row>
    <row r="24" spans="1:13">
      <c r="A24" s="17" t="s">
        <v>1075</v>
      </c>
      <c r="B24" s="15" t="s">
        <v>1080</v>
      </c>
      <c r="C24" s="15" t="s">
        <v>1077</v>
      </c>
      <c r="D24" s="15" t="str">
        <f>"0,5447"</f>
        <v>0,5447</v>
      </c>
      <c r="E24" s="17" t="s">
        <v>28</v>
      </c>
      <c r="F24" s="17" t="s">
        <v>29</v>
      </c>
      <c r="G24" s="15" t="s">
        <v>464</v>
      </c>
      <c r="H24" s="15" t="s">
        <v>1078</v>
      </c>
      <c r="I24" s="15" t="s">
        <v>1079</v>
      </c>
      <c r="J24" s="18"/>
      <c r="K24" s="17" t="str">
        <f>"282,5"</f>
        <v>282,5</v>
      </c>
      <c r="L24" s="15" t="str">
        <f>"153,8778"</f>
        <v>153,8778</v>
      </c>
      <c r="M24" s="17"/>
    </row>
    <row r="25" spans="1:13">
      <c r="A25" s="12" t="s">
        <v>1082</v>
      </c>
      <c r="B25" s="13" t="s">
        <v>1083</v>
      </c>
      <c r="C25" s="13" t="s">
        <v>1084</v>
      </c>
      <c r="D25" s="13" t="str">
        <f>"0,5400"</f>
        <v>0,5400</v>
      </c>
      <c r="E25" s="12" t="s">
        <v>28</v>
      </c>
      <c r="F25" s="12" t="s">
        <v>29</v>
      </c>
      <c r="G25" s="13" t="s">
        <v>239</v>
      </c>
      <c r="H25" s="13" t="s">
        <v>274</v>
      </c>
      <c r="I25" s="13" t="s">
        <v>275</v>
      </c>
      <c r="J25" s="14"/>
      <c r="K25" s="12" t="str">
        <f>"245,0"</f>
        <v>245,0</v>
      </c>
      <c r="L25" s="13" t="str">
        <f>"137,9991"</f>
        <v>137,9991</v>
      </c>
      <c r="M25" s="12"/>
    </row>
    <row r="27" spans="1:13">
      <c r="E27" s="31" t="s">
        <v>1095</v>
      </c>
    </row>
    <row r="28" spans="1:13">
      <c r="E28" s="31" t="s">
        <v>1240</v>
      </c>
    </row>
    <row r="29" spans="1:13">
      <c r="E29" s="31" t="s">
        <v>1096</v>
      </c>
    </row>
    <row r="30" spans="1:13">
      <c r="E30" s="31" t="s">
        <v>1241</v>
      </c>
    </row>
    <row r="31" spans="1:13">
      <c r="E31" s="31" t="s">
        <v>1097</v>
      </c>
    </row>
    <row r="35" spans="1:5" ht="18">
      <c r="A35" s="21" t="s">
        <v>81</v>
      </c>
      <c r="B35" s="22"/>
    </row>
    <row r="36" spans="1:5" ht="15">
      <c r="A36" s="23" t="s">
        <v>229</v>
      </c>
      <c r="B36" s="24"/>
    </row>
    <row r="37" spans="1:5" ht="14.25">
      <c r="A37" s="26"/>
      <c r="B37" s="27" t="s">
        <v>83</v>
      </c>
    </row>
    <row r="38" spans="1:5" ht="15">
      <c r="A38" s="28" t="s">
        <v>0</v>
      </c>
      <c r="B38" s="28" t="s">
        <v>84</v>
      </c>
      <c r="C38" s="28" t="s">
        <v>85</v>
      </c>
      <c r="D38" s="28" t="s">
        <v>86</v>
      </c>
      <c r="E38" s="28" t="s">
        <v>1025</v>
      </c>
    </row>
    <row r="39" spans="1:5">
      <c r="A39" s="25" t="s">
        <v>1050</v>
      </c>
      <c r="B39" s="5" t="s">
        <v>83</v>
      </c>
      <c r="C39" s="5" t="s">
        <v>234</v>
      </c>
      <c r="D39" s="5" t="s">
        <v>220</v>
      </c>
      <c r="E39" s="29" t="s">
        <v>1085</v>
      </c>
    </row>
    <row r="42" spans="1:5" ht="15">
      <c r="A42" s="23" t="s">
        <v>82</v>
      </c>
      <c r="B42" s="24"/>
    </row>
    <row r="43" spans="1:5" ht="14.25">
      <c r="A43" s="26"/>
      <c r="B43" s="27" t="s">
        <v>471</v>
      </c>
    </row>
    <row r="44" spans="1:5" ht="15">
      <c r="A44" s="28" t="s">
        <v>0</v>
      </c>
      <c r="B44" s="28" t="s">
        <v>84</v>
      </c>
      <c r="C44" s="28" t="s">
        <v>85</v>
      </c>
      <c r="D44" s="28" t="s">
        <v>86</v>
      </c>
      <c r="E44" s="28" t="s">
        <v>1025</v>
      </c>
    </row>
    <row r="45" spans="1:5">
      <c r="A45" s="25" t="s">
        <v>1074</v>
      </c>
      <c r="B45" s="5" t="s">
        <v>472</v>
      </c>
      <c r="C45" s="5" t="s">
        <v>238</v>
      </c>
      <c r="D45" s="5" t="s">
        <v>1079</v>
      </c>
      <c r="E45" s="29" t="s">
        <v>1086</v>
      </c>
    </row>
    <row r="47" spans="1:5" ht="14.25">
      <c r="A47" s="26"/>
      <c r="B47" s="27" t="s">
        <v>83</v>
      </c>
    </row>
    <row r="48" spans="1:5" ht="15">
      <c r="A48" s="28" t="s">
        <v>0</v>
      </c>
      <c r="B48" s="28" t="s">
        <v>84</v>
      </c>
      <c r="C48" s="28" t="s">
        <v>85</v>
      </c>
      <c r="D48" s="28" t="s">
        <v>86</v>
      </c>
      <c r="E48" s="28" t="s">
        <v>1025</v>
      </c>
    </row>
    <row r="49" spans="1:5">
      <c r="A49" s="25" t="s">
        <v>1074</v>
      </c>
      <c r="B49" s="5" t="s">
        <v>83</v>
      </c>
      <c r="C49" s="5" t="s">
        <v>238</v>
      </c>
      <c r="D49" s="5" t="s">
        <v>1079</v>
      </c>
      <c r="E49" s="29" t="s">
        <v>1086</v>
      </c>
    </row>
    <row r="50" spans="1:5">
      <c r="A50" s="25" t="s">
        <v>1066</v>
      </c>
      <c r="B50" s="5" t="s">
        <v>83</v>
      </c>
      <c r="C50" s="5" t="s">
        <v>89</v>
      </c>
      <c r="D50" s="5" t="s">
        <v>116</v>
      </c>
      <c r="E50" s="29" t="s">
        <v>1087</v>
      </c>
    </row>
    <row r="51" spans="1:5">
      <c r="A51" s="25" t="s">
        <v>1057</v>
      </c>
      <c r="B51" s="5" t="s">
        <v>83</v>
      </c>
      <c r="C51" s="5" t="s">
        <v>96</v>
      </c>
      <c r="D51" s="5" t="s">
        <v>40</v>
      </c>
      <c r="E51" s="29" t="s">
        <v>1088</v>
      </c>
    </row>
    <row r="52" spans="1:5">
      <c r="A52" s="25" t="s">
        <v>1070</v>
      </c>
      <c r="B52" s="5" t="s">
        <v>83</v>
      </c>
      <c r="C52" s="5" t="s">
        <v>89</v>
      </c>
      <c r="D52" s="5" t="s">
        <v>239</v>
      </c>
      <c r="E52" s="29" t="s">
        <v>1089</v>
      </c>
    </row>
    <row r="53" spans="1:5">
      <c r="A53" s="25" t="s">
        <v>1054</v>
      </c>
      <c r="B53" s="5" t="s">
        <v>83</v>
      </c>
      <c r="C53" s="5" t="s">
        <v>241</v>
      </c>
      <c r="D53" s="5" t="s">
        <v>200</v>
      </c>
      <c r="E53" s="29" t="s">
        <v>1090</v>
      </c>
    </row>
    <row r="54" spans="1:5">
      <c r="A54" s="25" t="s">
        <v>1061</v>
      </c>
      <c r="B54" s="5" t="s">
        <v>83</v>
      </c>
      <c r="C54" s="5" t="s">
        <v>96</v>
      </c>
      <c r="D54" s="5" t="s">
        <v>193</v>
      </c>
      <c r="E54" s="29" t="s">
        <v>1091</v>
      </c>
    </row>
    <row r="55" spans="1:5">
      <c r="A55" s="25" t="s">
        <v>719</v>
      </c>
      <c r="B55" s="5" t="s">
        <v>83</v>
      </c>
      <c r="C55" s="5" t="s">
        <v>96</v>
      </c>
      <c r="D55" s="5" t="s">
        <v>778</v>
      </c>
      <c r="E55" s="29" t="s">
        <v>1092</v>
      </c>
    </row>
    <row r="57" spans="1:5" ht="14.25">
      <c r="A57" s="26"/>
      <c r="B57" s="27" t="s">
        <v>102</v>
      </c>
    </row>
    <row r="58" spans="1:5" ht="15">
      <c r="A58" s="28" t="s">
        <v>0</v>
      </c>
      <c r="B58" s="28" t="s">
        <v>84</v>
      </c>
      <c r="C58" s="28" t="s">
        <v>85</v>
      </c>
      <c r="D58" s="28" t="s">
        <v>86</v>
      </c>
      <c r="E58" s="28" t="s">
        <v>1025</v>
      </c>
    </row>
    <row r="59" spans="1:5">
      <c r="A59" s="25" t="s">
        <v>1081</v>
      </c>
      <c r="B59" s="5" t="s">
        <v>248</v>
      </c>
      <c r="C59" s="5" t="s">
        <v>238</v>
      </c>
      <c r="D59" s="5" t="s">
        <v>275</v>
      </c>
      <c r="E59" s="29" t="s">
        <v>1093</v>
      </c>
    </row>
  </sheetData>
  <mergeCells count="17"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A16:L16"/>
    <mergeCell ref="A20:L20"/>
    <mergeCell ref="A22:L22"/>
    <mergeCell ref="K3:K4"/>
    <mergeCell ref="L3:L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8"/>
  <sheetViews>
    <sheetView topLeftCell="A21" workbookViewId="0">
      <selection activeCell="E41" sqref="E41:F45"/>
    </sheetView>
  </sheetViews>
  <sheetFormatPr defaultRowHeight="12.75"/>
  <cols>
    <col min="1" max="1" width="27" style="4" bestFit="1" customWidth="1"/>
    <col min="2" max="2" width="30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19" style="4" bestFit="1" customWidth="1"/>
    <col min="7" max="7" width="6.5703125" style="5" bestFit="1" customWidth="1"/>
    <col min="8" max="8" width="6.5703125" style="5" customWidth="1"/>
    <col min="9" max="9" width="6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13.5703125" style="4" bestFit="1" customWidth="1"/>
    <col min="14" max="16384" width="9.140625" style="3"/>
  </cols>
  <sheetData>
    <row r="1" spans="1:13" s="2" customFormat="1" ht="29.1" customHeight="1">
      <c r="A1" s="54" t="s">
        <v>1107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.1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0</v>
      </c>
      <c r="B3" s="62" t="s">
        <v>10</v>
      </c>
      <c r="C3" s="62" t="s">
        <v>8</v>
      </c>
      <c r="D3" s="48" t="s">
        <v>11</v>
      </c>
      <c r="E3" s="48" t="s">
        <v>1</v>
      </c>
      <c r="F3" s="63" t="s">
        <v>12</v>
      </c>
      <c r="G3" s="60" t="s">
        <v>3</v>
      </c>
      <c r="H3" s="48"/>
      <c r="I3" s="48"/>
      <c r="J3" s="50"/>
      <c r="K3" s="46" t="s">
        <v>108</v>
      </c>
      <c r="L3" s="48" t="s">
        <v>6</v>
      </c>
      <c r="M3" s="50" t="s">
        <v>5</v>
      </c>
    </row>
    <row r="4" spans="1:13" s="1" customFormat="1" ht="23.25" customHeight="1" thickBot="1">
      <c r="A4" s="61"/>
      <c r="B4" s="49"/>
      <c r="C4" s="49"/>
      <c r="D4" s="49"/>
      <c r="E4" s="49"/>
      <c r="F4" s="64"/>
      <c r="G4" s="6">
        <v>1</v>
      </c>
      <c r="H4" s="7">
        <v>2</v>
      </c>
      <c r="I4" s="7">
        <v>3</v>
      </c>
      <c r="J4" s="8" t="s">
        <v>7</v>
      </c>
      <c r="K4" s="47"/>
      <c r="L4" s="49"/>
      <c r="M4" s="51"/>
    </row>
    <row r="5" spans="1:13" s="5" customFormat="1" ht="15">
      <c r="A5" s="52" t="s">
        <v>130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4"/>
    </row>
    <row r="6" spans="1:13" s="5" customFormat="1">
      <c r="A6" s="19" t="s">
        <v>132</v>
      </c>
      <c r="B6" s="16" t="s">
        <v>133</v>
      </c>
      <c r="C6" s="16" t="s">
        <v>134</v>
      </c>
      <c r="D6" s="16" t="str">
        <f>"0,8713"</f>
        <v>0,8713</v>
      </c>
      <c r="E6" s="19" t="s">
        <v>18</v>
      </c>
      <c r="F6" s="19" t="s">
        <v>29</v>
      </c>
      <c r="G6" s="20" t="s">
        <v>135</v>
      </c>
      <c r="H6" s="16" t="s">
        <v>135</v>
      </c>
      <c r="I6" s="16" t="s">
        <v>136</v>
      </c>
      <c r="J6" s="20"/>
      <c r="K6" s="19" t="str">
        <f>"92,5"</f>
        <v>92,5</v>
      </c>
      <c r="L6" s="16" t="str">
        <f>"80,5952"</f>
        <v>80,5952</v>
      </c>
      <c r="M6" s="19"/>
    </row>
    <row r="7" spans="1:13" s="5" customFormat="1">
      <c r="A7" s="4"/>
      <c r="E7" s="4"/>
      <c r="F7" s="4"/>
      <c r="K7" s="4"/>
      <c r="M7" s="4"/>
    </row>
    <row r="8" spans="1:13" ht="15">
      <c r="A8" s="45" t="s">
        <v>137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3">
      <c r="A9" s="19" t="s">
        <v>139</v>
      </c>
      <c r="B9" s="16" t="s">
        <v>140</v>
      </c>
      <c r="C9" s="16" t="s">
        <v>141</v>
      </c>
      <c r="D9" s="16" t="str">
        <f>"0,7959"</f>
        <v>0,7959</v>
      </c>
      <c r="E9" s="19" t="s">
        <v>28</v>
      </c>
      <c r="F9" s="19" t="s">
        <v>142</v>
      </c>
      <c r="G9" s="16" t="s">
        <v>143</v>
      </c>
      <c r="H9" s="16" t="s">
        <v>144</v>
      </c>
      <c r="I9" s="16" t="s">
        <v>145</v>
      </c>
      <c r="J9" s="20" t="s">
        <v>146</v>
      </c>
      <c r="K9" s="19" t="str">
        <f>"95,0"</f>
        <v>95,0</v>
      </c>
      <c r="L9" s="16" t="str">
        <f>"75,6105"</f>
        <v>75,6105</v>
      </c>
      <c r="M9" s="19"/>
    </row>
    <row r="11" spans="1:13" ht="15">
      <c r="A11" s="45" t="s">
        <v>13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3">
      <c r="A12" s="19" t="s">
        <v>148</v>
      </c>
      <c r="B12" s="16" t="s">
        <v>149</v>
      </c>
      <c r="C12" s="16" t="s">
        <v>150</v>
      </c>
      <c r="D12" s="16" t="str">
        <f>"0,6817"</f>
        <v>0,6817</v>
      </c>
      <c r="E12" s="19" t="s">
        <v>28</v>
      </c>
      <c r="F12" s="19" t="s">
        <v>151</v>
      </c>
      <c r="G12" s="16" t="s">
        <v>152</v>
      </c>
      <c r="H12" s="16" t="s">
        <v>153</v>
      </c>
      <c r="I12" s="16" t="s">
        <v>154</v>
      </c>
      <c r="J12" s="20"/>
      <c r="K12" s="19" t="str">
        <f>"122,5"</f>
        <v>122,5</v>
      </c>
      <c r="L12" s="16" t="str">
        <f>"83,5082"</f>
        <v>83,5082</v>
      </c>
      <c r="M12" s="19"/>
    </row>
    <row r="14" spans="1:13" ht="15">
      <c r="A14" s="45" t="s">
        <v>155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3">
      <c r="A15" s="19" t="s">
        <v>157</v>
      </c>
      <c r="B15" s="16" t="s">
        <v>158</v>
      </c>
      <c r="C15" s="16" t="s">
        <v>159</v>
      </c>
      <c r="D15" s="16" t="str">
        <f>"0,6687"</f>
        <v>0,6687</v>
      </c>
      <c r="E15" s="19" t="s">
        <v>28</v>
      </c>
      <c r="F15" s="19" t="s">
        <v>29</v>
      </c>
      <c r="G15" s="16" t="s">
        <v>160</v>
      </c>
      <c r="H15" s="16" t="s">
        <v>161</v>
      </c>
      <c r="I15" s="16" t="s">
        <v>162</v>
      </c>
      <c r="J15" s="20"/>
      <c r="K15" s="19" t="str">
        <f>"165,0"</f>
        <v>165,0</v>
      </c>
      <c r="L15" s="16" t="str">
        <f>"110,3355"</f>
        <v>110,3355</v>
      </c>
      <c r="M15" s="19"/>
    </row>
    <row r="17" spans="1:13" ht="15">
      <c r="A17" s="45" t="s">
        <v>13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3">
      <c r="A18" s="19" t="s">
        <v>164</v>
      </c>
      <c r="B18" s="16" t="s">
        <v>165</v>
      </c>
      <c r="C18" s="16" t="s">
        <v>166</v>
      </c>
      <c r="D18" s="16" t="str">
        <f>"0,6235"</f>
        <v>0,6235</v>
      </c>
      <c r="E18" s="19" t="s">
        <v>28</v>
      </c>
      <c r="F18" s="19" t="s">
        <v>167</v>
      </c>
      <c r="G18" s="16" t="s">
        <v>168</v>
      </c>
      <c r="H18" s="16" t="s">
        <v>169</v>
      </c>
      <c r="I18" s="20" t="s">
        <v>170</v>
      </c>
      <c r="J18" s="20"/>
      <c r="K18" s="19" t="str">
        <f>"150,0"</f>
        <v>150,0</v>
      </c>
      <c r="L18" s="16" t="str">
        <f>"96,4243"</f>
        <v>96,4243</v>
      </c>
      <c r="M18" s="19"/>
    </row>
    <row r="20" spans="1:13" ht="15">
      <c r="A20" s="45" t="s">
        <v>23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3">
      <c r="A21" s="19" t="s">
        <v>172</v>
      </c>
      <c r="B21" s="16" t="s">
        <v>173</v>
      </c>
      <c r="C21" s="16" t="s">
        <v>174</v>
      </c>
      <c r="D21" s="16" t="str">
        <f>"0,5935"</f>
        <v>0,5935</v>
      </c>
      <c r="E21" s="19" t="s">
        <v>28</v>
      </c>
      <c r="F21" s="19" t="s">
        <v>175</v>
      </c>
      <c r="G21" s="16" t="s">
        <v>176</v>
      </c>
      <c r="H21" s="16" t="s">
        <v>79</v>
      </c>
      <c r="I21" s="20" t="s">
        <v>177</v>
      </c>
      <c r="J21" s="20"/>
      <c r="K21" s="19" t="str">
        <f>"180,0"</f>
        <v>180,0</v>
      </c>
      <c r="L21" s="16" t="str">
        <f>"106,8300"</f>
        <v>106,8300</v>
      </c>
      <c r="M21" s="19"/>
    </row>
    <row r="23" spans="1:13" ht="15">
      <c r="A23" s="45" t="s">
        <v>52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3">
      <c r="A24" s="9" t="s">
        <v>178</v>
      </c>
      <c r="B24" s="10" t="s">
        <v>63</v>
      </c>
      <c r="C24" s="10" t="s">
        <v>64</v>
      </c>
      <c r="D24" s="10" t="str">
        <f>"0,5616"</f>
        <v>0,5616</v>
      </c>
      <c r="E24" s="9" t="s">
        <v>18</v>
      </c>
      <c r="F24" s="9" t="s">
        <v>29</v>
      </c>
      <c r="G24" s="10" t="s">
        <v>179</v>
      </c>
      <c r="H24" s="10" t="s">
        <v>180</v>
      </c>
      <c r="I24" s="11" t="s">
        <v>40</v>
      </c>
      <c r="J24" s="11"/>
      <c r="K24" s="9" t="str">
        <f>"210,0"</f>
        <v>210,0</v>
      </c>
      <c r="L24" s="10" t="str">
        <f>"117,9360"</f>
        <v>117,9360</v>
      </c>
      <c r="M24" s="9"/>
    </row>
    <row r="25" spans="1:13">
      <c r="A25" s="17" t="s">
        <v>181</v>
      </c>
      <c r="B25" s="15" t="s">
        <v>182</v>
      </c>
      <c r="C25" s="15" t="s">
        <v>183</v>
      </c>
      <c r="D25" s="15" t="str">
        <f>"0,5581"</f>
        <v>0,5581</v>
      </c>
      <c r="E25" s="17" t="s">
        <v>28</v>
      </c>
      <c r="F25" s="17" t="s">
        <v>29</v>
      </c>
      <c r="G25" s="18" t="s">
        <v>80</v>
      </c>
      <c r="H25" s="18" t="s">
        <v>80</v>
      </c>
      <c r="I25" s="18" t="s">
        <v>80</v>
      </c>
      <c r="J25" s="18"/>
      <c r="K25" s="17" t="str">
        <f>"0.00"</f>
        <v>0.00</v>
      </c>
      <c r="L25" s="15" t="str">
        <f>"0,0000"</f>
        <v>0,0000</v>
      </c>
      <c r="M25" s="17"/>
    </row>
    <row r="26" spans="1:13">
      <c r="A26" s="17" t="s">
        <v>178</v>
      </c>
      <c r="B26" s="43" t="s">
        <v>1235</v>
      </c>
      <c r="C26" s="15" t="s">
        <v>64</v>
      </c>
      <c r="D26" s="15" t="str">
        <f>"0,5616"</f>
        <v>0,5616</v>
      </c>
      <c r="E26" s="17" t="s">
        <v>18</v>
      </c>
      <c r="F26" s="17" t="s">
        <v>29</v>
      </c>
      <c r="G26" s="15" t="s">
        <v>179</v>
      </c>
      <c r="H26" s="15" t="s">
        <v>180</v>
      </c>
      <c r="I26" s="18" t="s">
        <v>40</v>
      </c>
      <c r="J26" s="18"/>
      <c r="K26" s="17" t="str">
        <f>"210,0"</f>
        <v>210,0</v>
      </c>
      <c r="L26" s="15" t="str">
        <f>"117,9360"</f>
        <v>117,9360</v>
      </c>
      <c r="M26" s="17"/>
    </row>
    <row r="27" spans="1:13">
      <c r="A27" s="17" t="s">
        <v>185</v>
      </c>
      <c r="B27" s="43" t="s">
        <v>1236</v>
      </c>
      <c r="C27" s="15" t="s">
        <v>186</v>
      </c>
      <c r="D27" s="15" t="str">
        <f>"0,5758"</f>
        <v>0,5758</v>
      </c>
      <c r="E27" s="17" t="s">
        <v>28</v>
      </c>
      <c r="F27" s="17" t="s">
        <v>37</v>
      </c>
      <c r="G27" s="15" t="s">
        <v>187</v>
      </c>
      <c r="H27" s="15" t="s">
        <v>128</v>
      </c>
      <c r="I27" s="15" t="s">
        <v>188</v>
      </c>
      <c r="J27" s="18"/>
      <c r="K27" s="17" t="str">
        <f>"180,0"</f>
        <v>180,0</v>
      </c>
      <c r="L27" s="15" t="str">
        <f>"103,6440"</f>
        <v>103,6440</v>
      </c>
      <c r="M27" s="17"/>
    </row>
    <row r="28" spans="1:13">
      <c r="A28" s="17" t="s">
        <v>190</v>
      </c>
      <c r="B28" s="43" t="s">
        <v>1237</v>
      </c>
      <c r="C28" s="15" t="s">
        <v>191</v>
      </c>
      <c r="D28" s="15" t="str">
        <f>"0,5540"</f>
        <v>0,5540</v>
      </c>
      <c r="E28" s="17" t="s">
        <v>28</v>
      </c>
      <c r="F28" s="17" t="s">
        <v>192</v>
      </c>
      <c r="G28" s="15" t="s">
        <v>193</v>
      </c>
      <c r="H28" s="18" t="s">
        <v>194</v>
      </c>
      <c r="I28" s="18" t="s">
        <v>194</v>
      </c>
      <c r="J28" s="18"/>
      <c r="K28" s="17" t="str">
        <f>"170,0"</f>
        <v>170,0</v>
      </c>
      <c r="L28" s="15" t="str">
        <f>"94,1800"</f>
        <v>94,1800</v>
      </c>
      <c r="M28" s="17"/>
    </row>
    <row r="29" spans="1:13">
      <c r="A29" s="12" t="s">
        <v>196</v>
      </c>
      <c r="B29" s="13" t="s">
        <v>197</v>
      </c>
      <c r="C29" s="13" t="s">
        <v>198</v>
      </c>
      <c r="D29" s="13" t="str">
        <f>"0,5754"</f>
        <v>0,5754</v>
      </c>
      <c r="E29" s="12" t="s">
        <v>28</v>
      </c>
      <c r="F29" s="12" t="s">
        <v>29</v>
      </c>
      <c r="G29" s="14" t="s">
        <v>199</v>
      </c>
      <c r="H29" s="13" t="s">
        <v>126</v>
      </c>
      <c r="I29" s="14" t="s">
        <v>200</v>
      </c>
      <c r="J29" s="14"/>
      <c r="K29" s="12" t="str">
        <f>"160,0"</f>
        <v>160,0</v>
      </c>
      <c r="L29" s="13" t="str">
        <f>"93,7212"</f>
        <v>93,7212</v>
      </c>
      <c r="M29" s="12"/>
    </row>
    <row r="31" spans="1:13" ht="15">
      <c r="A31" s="45" t="s">
        <v>66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3">
      <c r="A32" s="9" t="s">
        <v>202</v>
      </c>
      <c r="B32" s="10" t="s">
        <v>203</v>
      </c>
      <c r="C32" s="10" t="s">
        <v>204</v>
      </c>
      <c r="D32" s="10" t="str">
        <f>"0,5426"</f>
        <v>0,5426</v>
      </c>
      <c r="E32" s="9" t="s">
        <v>28</v>
      </c>
      <c r="F32" s="9" t="s">
        <v>205</v>
      </c>
      <c r="G32" s="10" t="s">
        <v>206</v>
      </c>
      <c r="H32" s="11" t="s">
        <v>207</v>
      </c>
      <c r="I32" s="10" t="s">
        <v>207</v>
      </c>
      <c r="J32" s="11"/>
      <c r="K32" s="9" t="str">
        <f>"192,5"</f>
        <v>192,5</v>
      </c>
      <c r="L32" s="10" t="str">
        <f>"104,4505"</f>
        <v>104,4505</v>
      </c>
      <c r="M32" s="9"/>
    </row>
    <row r="33" spans="1:13">
      <c r="A33" s="12" t="s">
        <v>209</v>
      </c>
      <c r="B33" s="13" t="s">
        <v>210</v>
      </c>
      <c r="C33" s="13" t="s">
        <v>211</v>
      </c>
      <c r="D33" s="13" t="str">
        <f>"0,5399"</f>
        <v>0,5399</v>
      </c>
      <c r="E33" s="12" t="s">
        <v>28</v>
      </c>
      <c r="F33" s="12" t="s">
        <v>212</v>
      </c>
      <c r="G33" s="13" t="s">
        <v>213</v>
      </c>
      <c r="H33" s="14" t="s">
        <v>179</v>
      </c>
      <c r="I33" s="14" t="s">
        <v>179</v>
      </c>
      <c r="J33" s="14"/>
      <c r="K33" s="12" t="str">
        <f>"192,5"</f>
        <v>192,5</v>
      </c>
      <c r="L33" s="13" t="str">
        <f>"103,9308"</f>
        <v>103,9308</v>
      </c>
      <c r="M33" s="12" t="s">
        <v>214</v>
      </c>
    </row>
    <row r="35" spans="1:13" ht="15">
      <c r="A35" s="45" t="s">
        <v>74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3">
      <c r="A36" s="19" t="s">
        <v>216</v>
      </c>
      <c r="B36" s="16" t="s">
        <v>217</v>
      </c>
      <c r="C36" s="16" t="s">
        <v>218</v>
      </c>
      <c r="D36" s="16" t="str">
        <f>"0,5341"</f>
        <v>0,5341</v>
      </c>
      <c r="E36" s="19" t="s">
        <v>219</v>
      </c>
      <c r="F36" s="19" t="s">
        <v>29</v>
      </c>
      <c r="G36" s="16" t="s">
        <v>220</v>
      </c>
      <c r="H36" s="20" t="s">
        <v>221</v>
      </c>
      <c r="I36" s="20" t="s">
        <v>222</v>
      </c>
      <c r="J36" s="20"/>
      <c r="K36" s="19" t="str">
        <f>"110,0"</f>
        <v>110,0</v>
      </c>
      <c r="L36" s="16" t="str">
        <f>"62,8048"</f>
        <v>62,8048</v>
      </c>
      <c r="M36" s="19"/>
    </row>
    <row r="38" spans="1:13" ht="15">
      <c r="A38" s="45" t="s">
        <v>223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3">
      <c r="A39" s="19" t="s">
        <v>225</v>
      </c>
      <c r="B39" s="16" t="s">
        <v>226</v>
      </c>
      <c r="C39" s="16" t="s">
        <v>227</v>
      </c>
      <c r="D39" s="16" t="str">
        <f>"0,5180"</f>
        <v>0,5180</v>
      </c>
      <c r="E39" s="19" t="s">
        <v>28</v>
      </c>
      <c r="F39" s="19" t="s">
        <v>228</v>
      </c>
      <c r="G39" s="16" t="s">
        <v>50</v>
      </c>
      <c r="H39" s="16" t="s">
        <v>51</v>
      </c>
      <c r="I39" s="16" t="s">
        <v>31</v>
      </c>
      <c r="J39" s="20"/>
      <c r="K39" s="19" t="str">
        <f>"220,0"</f>
        <v>220,0</v>
      </c>
      <c r="L39" s="16" t="str">
        <f>"113,9600"</f>
        <v>113,9600</v>
      </c>
      <c r="M39" s="19"/>
    </row>
    <row r="41" spans="1:13">
      <c r="E41" s="31" t="s">
        <v>1095</v>
      </c>
    </row>
    <row r="42" spans="1:13">
      <c r="E42" s="31" t="s">
        <v>1240</v>
      </c>
    </row>
    <row r="43" spans="1:13">
      <c r="E43" s="31" t="s">
        <v>1096</v>
      </c>
    </row>
    <row r="44" spans="1:13">
      <c r="E44" s="31" t="s">
        <v>1241</v>
      </c>
    </row>
    <row r="45" spans="1:13">
      <c r="E45" s="31" t="s">
        <v>1097</v>
      </c>
    </row>
    <row r="49" spans="1:5" ht="18">
      <c r="A49" s="21" t="s">
        <v>81</v>
      </c>
      <c r="B49" s="22"/>
    </row>
    <row r="50" spans="1:5" ht="15">
      <c r="A50" s="23" t="s">
        <v>229</v>
      </c>
      <c r="B50" s="24"/>
    </row>
    <row r="51" spans="1:5" ht="14.25">
      <c r="A51" s="26"/>
      <c r="B51" s="27" t="s">
        <v>83</v>
      </c>
    </row>
    <row r="52" spans="1:5" ht="15">
      <c r="A52" s="28" t="s">
        <v>0</v>
      </c>
      <c r="B52" s="28" t="s">
        <v>84</v>
      </c>
      <c r="C52" s="28" t="s">
        <v>85</v>
      </c>
      <c r="D52" s="28" t="s">
        <v>86</v>
      </c>
      <c r="E52" s="28" t="s">
        <v>11</v>
      </c>
    </row>
    <row r="53" spans="1:5">
      <c r="A53" s="25" t="s">
        <v>147</v>
      </c>
      <c r="B53" s="5" t="s">
        <v>83</v>
      </c>
      <c r="C53" s="5" t="s">
        <v>87</v>
      </c>
      <c r="D53" s="5" t="s">
        <v>230</v>
      </c>
      <c r="E53" s="29" t="s">
        <v>231</v>
      </c>
    </row>
    <row r="54" spans="1:5">
      <c r="A54" s="25" t="s">
        <v>131</v>
      </c>
      <c r="B54" s="5" t="s">
        <v>83</v>
      </c>
      <c r="C54" s="5" t="s">
        <v>232</v>
      </c>
      <c r="D54" s="5" t="s">
        <v>136</v>
      </c>
      <c r="E54" s="29" t="s">
        <v>233</v>
      </c>
    </row>
    <row r="55" spans="1:5">
      <c r="A55" s="25" t="s">
        <v>138</v>
      </c>
      <c r="B55" s="5" t="s">
        <v>83</v>
      </c>
      <c r="C55" s="5" t="s">
        <v>234</v>
      </c>
      <c r="D55" s="5" t="s">
        <v>235</v>
      </c>
      <c r="E55" s="29" t="s">
        <v>236</v>
      </c>
    </row>
    <row r="58" spans="1:5" ht="15">
      <c r="A58" s="23" t="s">
        <v>82</v>
      </c>
      <c r="B58" s="24"/>
    </row>
    <row r="59" spans="1:5" ht="14.25">
      <c r="A59" s="26"/>
      <c r="B59" s="27" t="s">
        <v>83</v>
      </c>
    </row>
    <row r="60" spans="1:5" ht="15">
      <c r="A60" s="28" t="s">
        <v>0</v>
      </c>
      <c r="B60" s="28" t="s">
        <v>84</v>
      </c>
      <c r="C60" s="28" t="s">
        <v>85</v>
      </c>
      <c r="D60" s="28" t="s">
        <v>86</v>
      </c>
      <c r="E60" s="28" t="s">
        <v>11</v>
      </c>
    </row>
    <row r="61" spans="1:5">
      <c r="A61" s="25" t="s">
        <v>61</v>
      </c>
      <c r="B61" s="5" t="s">
        <v>83</v>
      </c>
      <c r="C61" s="5" t="s">
        <v>89</v>
      </c>
      <c r="D61" s="5" t="s">
        <v>180</v>
      </c>
      <c r="E61" s="29" t="s">
        <v>237</v>
      </c>
    </row>
    <row r="62" spans="1:5">
      <c r="A62" s="25" t="s">
        <v>224</v>
      </c>
      <c r="B62" s="5" t="s">
        <v>83</v>
      </c>
      <c r="C62" s="5" t="s">
        <v>238</v>
      </c>
      <c r="D62" s="5" t="s">
        <v>239</v>
      </c>
      <c r="E62" s="29" t="s">
        <v>240</v>
      </c>
    </row>
    <row r="63" spans="1:5">
      <c r="A63" s="25" t="s">
        <v>156</v>
      </c>
      <c r="B63" s="5" t="s">
        <v>83</v>
      </c>
      <c r="C63" s="5" t="s">
        <v>241</v>
      </c>
      <c r="D63" s="5" t="s">
        <v>200</v>
      </c>
      <c r="E63" s="29" t="s">
        <v>242</v>
      </c>
    </row>
    <row r="64" spans="1:5">
      <c r="A64" s="25" t="s">
        <v>171</v>
      </c>
      <c r="B64" s="5" t="s">
        <v>83</v>
      </c>
      <c r="C64" s="5" t="s">
        <v>96</v>
      </c>
      <c r="D64" s="5" t="s">
        <v>188</v>
      </c>
      <c r="E64" s="29" t="s">
        <v>243</v>
      </c>
    </row>
    <row r="65" spans="1:5">
      <c r="A65" s="25" t="s">
        <v>201</v>
      </c>
      <c r="B65" s="5" t="s">
        <v>83</v>
      </c>
      <c r="C65" s="5" t="s">
        <v>93</v>
      </c>
      <c r="D65" s="5" t="s">
        <v>207</v>
      </c>
      <c r="E65" s="29" t="s">
        <v>244</v>
      </c>
    </row>
    <row r="66" spans="1:5">
      <c r="A66" s="25" t="s">
        <v>208</v>
      </c>
      <c r="B66" s="5" t="s">
        <v>83</v>
      </c>
      <c r="C66" s="5" t="s">
        <v>93</v>
      </c>
      <c r="D66" s="5" t="s">
        <v>207</v>
      </c>
      <c r="E66" s="29" t="s">
        <v>245</v>
      </c>
    </row>
    <row r="68" spans="1:5" ht="14.25">
      <c r="A68" s="26"/>
      <c r="B68" s="27" t="s">
        <v>100</v>
      </c>
    </row>
    <row r="69" spans="1:5" ht="15">
      <c r="A69" s="28" t="s">
        <v>0</v>
      </c>
      <c r="B69" s="28" t="s">
        <v>84</v>
      </c>
      <c r="C69" s="28" t="s">
        <v>85</v>
      </c>
      <c r="D69" s="28" t="s">
        <v>86</v>
      </c>
      <c r="E69" s="28" t="s">
        <v>11</v>
      </c>
    </row>
    <row r="70" spans="1:5">
      <c r="A70" s="25" t="s">
        <v>61</v>
      </c>
      <c r="B70" s="5" t="s">
        <v>101</v>
      </c>
      <c r="C70" s="5" t="s">
        <v>89</v>
      </c>
      <c r="D70" s="5" t="s">
        <v>180</v>
      </c>
      <c r="E70" s="29" t="s">
        <v>237</v>
      </c>
    </row>
    <row r="71" spans="1:5">
      <c r="A71" s="25" t="s">
        <v>184</v>
      </c>
      <c r="B71" s="5" t="s">
        <v>101</v>
      </c>
      <c r="C71" s="5" t="s">
        <v>89</v>
      </c>
      <c r="D71" s="5" t="s">
        <v>188</v>
      </c>
      <c r="E71" s="29" t="s">
        <v>246</v>
      </c>
    </row>
    <row r="72" spans="1:5">
      <c r="A72" s="25" t="s">
        <v>189</v>
      </c>
      <c r="B72" s="5" t="s">
        <v>101</v>
      </c>
      <c r="C72" s="5" t="s">
        <v>89</v>
      </c>
      <c r="D72" s="5" t="s">
        <v>193</v>
      </c>
      <c r="E72" s="29" t="s">
        <v>247</v>
      </c>
    </row>
    <row r="74" spans="1:5" ht="14.25">
      <c r="A74" s="26"/>
      <c r="B74" s="27" t="s">
        <v>102</v>
      </c>
    </row>
    <row r="75" spans="1:5" ht="15">
      <c r="A75" s="28" t="s">
        <v>0</v>
      </c>
      <c r="B75" s="28" t="s">
        <v>84</v>
      </c>
      <c r="C75" s="28" t="s">
        <v>85</v>
      </c>
      <c r="D75" s="28" t="s">
        <v>86</v>
      </c>
      <c r="E75" s="28" t="s">
        <v>11</v>
      </c>
    </row>
    <row r="76" spans="1:5">
      <c r="A76" s="25" t="s">
        <v>163</v>
      </c>
      <c r="B76" s="5" t="s">
        <v>248</v>
      </c>
      <c r="C76" s="5" t="s">
        <v>87</v>
      </c>
      <c r="D76" s="5" t="s">
        <v>249</v>
      </c>
      <c r="E76" s="29" t="s">
        <v>250</v>
      </c>
    </row>
    <row r="77" spans="1:5">
      <c r="A77" s="25" t="s">
        <v>195</v>
      </c>
      <c r="B77" s="5" t="s">
        <v>248</v>
      </c>
      <c r="C77" s="5" t="s">
        <v>89</v>
      </c>
      <c r="D77" s="5" t="s">
        <v>199</v>
      </c>
      <c r="E77" s="29" t="s">
        <v>251</v>
      </c>
    </row>
    <row r="78" spans="1:5">
      <c r="A78" s="25" t="s">
        <v>215</v>
      </c>
      <c r="B78" s="5" t="s">
        <v>252</v>
      </c>
      <c r="C78" s="5" t="s">
        <v>106</v>
      </c>
      <c r="D78" s="5" t="s">
        <v>220</v>
      </c>
      <c r="E78" s="29" t="s">
        <v>253</v>
      </c>
    </row>
  </sheetData>
  <mergeCells count="21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38:L38"/>
    <mergeCell ref="A14:L14"/>
    <mergeCell ref="A17:L17"/>
    <mergeCell ref="A20:L20"/>
    <mergeCell ref="A23:L23"/>
    <mergeCell ref="A31:L31"/>
    <mergeCell ref="A35:L3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0"/>
  <sheetViews>
    <sheetView topLeftCell="A2" workbookViewId="0">
      <selection activeCell="E8" sqref="E8:F1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15.28515625" style="4" bestFit="1" customWidth="1"/>
    <col min="7" max="7" width="6.5703125" style="5" bestFit="1" customWidth="1"/>
    <col min="8" max="8" width="6.5703125" style="5" customWidth="1"/>
    <col min="9" max="9" width="6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54" t="s">
        <v>1108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.1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0</v>
      </c>
      <c r="B3" s="62" t="s">
        <v>10</v>
      </c>
      <c r="C3" s="62" t="s">
        <v>8</v>
      </c>
      <c r="D3" s="48" t="s">
        <v>11</v>
      </c>
      <c r="E3" s="48" t="s">
        <v>1</v>
      </c>
      <c r="F3" s="63" t="s">
        <v>12</v>
      </c>
      <c r="G3" s="60" t="s">
        <v>4</v>
      </c>
      <c r="H3" s="48"/>
      <c r="I3" s="48"/>
      <c r="J3" s="50"/>
      <c r="K3" s="46" t="s">
        <v>108</v>
      </c>
      <c r="L3" s="48" t="s">
        <v>6</v>
      </c>
      <c r="M3" s="50" t="s">
        <v>5</v>
      </c>
    </row>
    <row r="4" spans="1:13" s="1" customFormat="1" ht="23.25" customHeight="1" thickBot="1">
      <c r="A4" s="61"/>
      <c r="B4" s="49"/>
      <c r="C4" s="49"/>
      <c r="D4" s="49"/>
      <c r="E4" s="49"/>
      <c r="F4" s="64"/>
      <c r="G4" s="6">
        <v>1</v>
      </c>
      <c r="H4" s="7">
        <v>2</v>
      </c>
      <c r="I4" s="7">
        <v>3</v>
      </c>
      <c r="J4" s="8" t="s">
        <v>7</v>
      </c>
      <c r="K4" s="47"/>
      <c r="L4" s="49"/>
      <c r="M4" s="51"/>
    </row>
    <row r="5" spans="1:13" s="5" customFormat="1" ht="15">
      <c r="A5" s="52" t="s">
        <v>52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4"/>
    </row>
    <row r="6" spans="1:13" s="5" customFormat="1">
      <c r="A6" s="19" t="s">
        <v>121</v>
      </c>
      <c r="B6" s="16" t="s">
        <v>122</v>
      </c>
      <c r="C6" s="16" t="s">
        <v>123</v>
      </c>
      <c r="D6" s="16" t="str">
        <f>"0,5701"</f>
        <v>0,5701</v>
      </c>
      <c r="E6" s="19" t="s">
        <v>28</v>
      </c>
      <c r="F6" s="19" t="s">
        <v>124</v>
      </c>
      <c r="G6" s="16" t="s">
        <v>125</v>
      </c>
      <c r="H6" s="16" t="s">
        <v>126</v>
      </c>
      <c r="I6" s="16" t="s">
        <v>127</v>
      </c>
      <c r="J6" s="20"/>
      <c r="K6" s="19" t="str">
        <f>"172,5"</f>
        <v>172,5</v>
      </c>
      <c r="L6" s="16" t="str">
        <f>"118,4041"</f>
        <v>118,4041</v>
      </c>
      <c r="M6" s="19"/>
    </row>
    <row r="7" spans="1:13" s="5" customFormat="1">
      <c r="A7" s="4"/>
      <c r="E7" s="4"/>
      <c r="F7" s="4"/>
      <c r="K7" s="4"/>
      <c r="M7" s="4"/>
    </row>
    <row r="8" spans="1:13">
      <c r="E8" s="31" t="s">
        <v>1095</v>
      </c>
    </row>
    <row r="9" spans="1:13">
      <c r="E9" s="31" t="s">
        <v>1240</v>
      </c>
    </row>
    <row r="10" spans="1:13">
      <c r="E10" s="31" t="s">
        <v>1096</v>
      </c>
    </row>
    <row r="11" spans="1:13">
      <c r="E11" s="31" t="s">
        <v>1241</v>
      </c>
    </row>
    <row r="12" spans="1:13">
      <c r="E12" s="31" t="s">
        <v>1097</v>
      </c>
    </row>
    <row r="16" spans="1:13" ht="18">
      <c r="A16" s="21" t="s">
        <v>81</v>
      </c>
      <c r="B16" s="22"/>
    </row>
    <row r="17" spans="1:5" ht="15">
      <c r="A17" s="23" t="s">
        <v>82</v>
      </c>
      <c r="B17" s="24"/>
    </row>
    <row r="18" spans="1:5" ht="14.25">
      <c r="A18" s="26"/>
      <c r="B18" s="27" t="s">
        <v>102</v>
      </c>
    </row>
    <row r="19" spans="1:5" ht="15">
      <c r="A19" s="28" t="s">
        <v>0</v>
      </c>
      <c r="B19" s="28" t="s">
        <v>84</v>
      </c>
      <c r="C19" s="28" t="s">
        <v>85</v>
      </c>
      <c r="D19" s="28" t="s">
        <v>86</v>
      </c>
      <c r="E19" s="28" t="s">
        <v>11</v>
      </c>
    </row>
    <row r="20" spans="1:5">
      <c r="A20" s="25" t="s">
        <v>120</v>
      </c>
      <c r="B20" s="5" t="s">
        <v>117</v>
      </c>
      <c r="C20" s="5" t="s">
        <v>89</v>
      </c>
      <c r="D20" s="5" t="s">
        <v>128</v>
      </c>
      <c r="E20" s="29" t="s">
        <v>129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E8" sqref="E8:F1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18.5703125" style="4" bestFit="1" customWidth="1"/>
    <col min="7" max="7" width="6.5703125" style="5" bestFit="1" customWidth="1"/>
    <col min="8" max="8" width="6.5703125" style="5" customWidth="1"/>
    <col min="9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54" t="s">
        <v>1109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.1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0</v>
      </c>
      <c r="B3" s="62" t="s">
        <v>10</v>
      </c>
      <c r="C3" s="62" t="s">
        <v>8</v>
      </c>
      <c r="D3" s="48" t="s">
        <v>11</v>
      </c>
      <c r="E3" s="48" t="s">
        <v>1</v>
      </c>
      <c r="F3" s="63" t="s">
        <v>12</v>
      </c>
      <c r="G3" s="60" t="s">
        <v>4</v>
      </c>
      <c r="H3" s="48"/>
      <c r="I3" s="48"/>
      <c r="J3" s="50"/>
      <c r="K3" s="46" t="s">
        <v>108</v>
      </c>
      <c r="L3" s="48" t="s">
        <v>6</v>
      </c>
      <c r="M3" s="50" t="s">
        <v>5</v>
      </c>
    </row>
    <row r="4" spans="1:13" s="1" customFormat="1" ht="23.25" customHeight="1" thickBot="1">
      <c r="A4" s="61"/>
      <c r="B4" s="49"/>
      <c r="C4" s="49"/>
      <c r="D4" s="49"/>
      <c r="E4" s="49"/>
      <c r="F4" s="64"/>
      <c r="G4" s="6">
        <v>1</v>
      </c>
      <c r="H4" s="7">
        <v>2</v>
      </c>
      <c r="I4" s="7">
        <v>3</v>
      </c>
      <c r="J4" s="8" t="s">
        <v>7</v>
      </c>
      <c r="K4" s="47"/>
      <c r="L4" s="49"/>
      <c r="M4" s="51"/>
    </row>
    <row r="5" spans="1:13" s="5" customFormat="1" ht="15">
      <c r="A5" s="52" t="s">
        <v>23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4"/>
    </row>
    <row r="6" spans="1:13" s="5" customFormat="1">
      <c r="A6" s="19" t="s">
        <v>110</v>
      </c>
      <c r="B6" s="16" t="s">
        <v>111</v>
      </c>
      <c r="C6" s="16" t="s">
        <v>112</v>
      </c>
      <c r="D6" s="16" t="str">
        <f>"0,6022"</f>
        <v>0,6022</v>
      </c>
      <c r="E6" s="19" t="s">
        <v>28</v>
      </c>
      <c r="F6" s="19" t="s">
        <v>113</v>
      </c>
      <c r="G6" s="16" t="s">
        <v>114</v>
      </c>
      <c r="H6" s="16" t="s">
        <v>115</v>
      </c>
      <c r="I6" s="20" t="s">
        <v>116</v>
      </c>
      <c r="J6" s="20"/>
      <c r="K6" s="19" t="str">
        <f>"242,5"</f>
        <v>242,5</v>
      </c>
      <c r="L6" s="16" t="str">
        <f>"171,2973"</f>
        <v>171,2973</v>
      </c>
      <c r="M6" s="19"/>
    </row>
    <row r="7" spans="1:13" s="5" customFormat="1">
      <c r="A7" s="4"/>
      <c r="E7" s="4"/>
      <c r="F7" s="4"/>
      <c r="K7" s="4"/>
      <c r="M7" s="4"/>
    </row>
    <row r="8" spans="1:13">
      <c r="E8" s="31" t="s">
        <v>1095</v>
      </c>
    </row>
    <row r="9" spans="1:13">
      <c r="E9" s="31" t="s">
        <v>1240</v>
      </c>
    </row>
    <row r="10" spans="1:13">
      <c r="E10" s="31" t="s">
        <v>1096</v>
      </c>
    </row>
    <row r="11" spans="1:13">
      <c r="E11" s="31" t="s">
        <v>1241</v>
      </c>
    </row>
    <row r="12" spans="1:13">
      <c r="E12" s="31" t="s">
        <v>1097</v>
      </c>
    </row>
    <row r="16" spans="1:13" ht="18">
      <c r="A16" s="21" t="s">
        <v>81</v>
      </c>
      <c r="B16" s="22"/>
    </row>
    <row r="17" spans="1:5" ht="15">
      <c r="A17" s="23" t="s">
        <v>82</v>
      </c>
      <c r="B17" s="24"/>
    </row>
    <row r="18" spans="1:5" ht="14.25">
      <c r="A18" s="26"/>
      <c r="B18" s="27" t="s">
        <v>102</v>
      </c>
    </row>
    <row r="19" spans="1:5" ht="15">
      <c r="A19" s="28" t="s">
        <v>0</v>
      </c>
      <c r="B19" s="28" t="s">
        <v>84</v>
      </c>
      <c r="C19" s="28" t="s">
        <v>85</v>
      </c>
      <c r="D19" s="28" t="s">
        <v>86</v>
      </c>
      <c r="E19" s="28" t="s">
        <v>11</v>
      </c>
    </row>
    <row r="20" spans="1:5">
      <c r="A20" s="25" t="s">
        <v>109</v>
      </c>
      <c r="B20" s="5" t="s">
        <v>117</v>
      </c>
      <c r="C20" s="5" t="s">
        <v>96</v>
      </c>
      <c r="D20" s="5" t="s">
        <v>118</v>
      </c>
      <c r="E20" s="29" t="s">
        <v>119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55"/>
  <sheetViews>
    <sheetView topLeftCell="A12" zoomScaleNormal="100" workbookViewId="0">
      <selection activeCell="E27" sqref="E27:F31"/>
    </sheetView>
  </sheetViews>
  <sheetFormatPr defaultRowHeight="12.75"/>
  <cols>
    <col min="1" max="1" width="27" style="4" bestFit="1" customWidth="1"/>
    <col min="2" max="2" width="30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15.28515625" style="4" bestFit="1" customWidth="1"/>
    <col min="7" max="7" width="6.5703125" style="5" bestFit="1" customWidth="1"/>
    <col min="8" max="8" width="6.5703125" style="5" customWidth="1"/>
    <col min="9" max="9" width="6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54" t="s">
        <v>1110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.1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0</v>
      </c>
      <c r="B3" s="62" t="s">
        <v>10</v>
      </c>
      <c r="C3" s="62" t="s">
        <v>8</v>
      </c>
      <c r="D3" s="48" t="s">
        <v>11</v>
      </c>
      <c r="E3" s="48" t="s">
        <v>1</v>
      </c>
      <c r="F3" s="63" t="s">
        <v>12</v>
      </c>
      <c r="G3" s="60" t="s">
        <v>4</v>
      </c>
      <c r="H3" s="48"/>
      <c r="I3" s="48"/>
      <c r="J3" s="50"/>
      <c r="K3" s="46" t="s">
        <v>108</v>
      </c>
      <c r="L3" s="48" t="s">
        <v>6</v>
      </c>
      <c r="M3" s="50" t="s">
        <v>5</v>
      </c>
    </row>
    <row r="4" spans="1:13" s="1" customFormat="1" ht="23.25" customHeight="1" thickBot="1">
      <c r="A4" s="61"/>
      <c r="B4" s="49"/>
      <c r="C4" s="49"/>
      <c r="D4" s="49"/>
      <c r="E4" s="49"/>
      <c r="F4" s="64"/>
      <c r="G4" s="6">
        <v>1</v>
      </c>
      <c r="H4" s="7">
        <v>2</v>
      </c>
      <c r="I4" s="7">
        <v>3</v>
      </c>
      <c r="J4" s="8" t="s">
        <v>7</v>
      </c>
      <c r="K4" s="47"/>
      <c r="L4" s="49"/>
      <c r="M4" s="51"/>
    </row>
    <row r="5" spans="1:13" s="5" customFormat="1" ht="15">
      <c r="A5" s="52" t="s">
        <v>13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4"/>
    </row>
    <row r="6" spans="1:13" s="5" customFormat="1">
      <c r="A6" s="9" t="s">
        <v>15</v>
      </c>
      <c r="B6" s="10" t="s">
        <v>16</v>
      </c>
      <c r="C6" s="10" t="s">
        <v>17</v>
      </c>
      <c r="D6" s="10" t="str">
        <f>"0,6224"</f>
        <v>0,6224</v>
      </c>
      <c r="E6" s="9" t="s">
        <v>18</v>
      </c>
      <c r="F6" s="9" t="s">
        <v>19</v>
      </c>
      <c r="G6" s="10" t="s">
        <v>20</v>
      </c>
      <c r="H6" s="10" t="s">
        <v>21</v>
      </c>
      <c r="I6" s="10" t="s">
        <v>22</v>
      </c>
      <c r="J6" s="11"/>
      <c r="K6" s="9" t="str">
        <f>"302,5"</f>
        <v>302,5</v>
      </c>
      <c r="L6" s="10" t="str">
        <f>"188,2760"</f>
        <v>188,2760</v>
      </c>
      <c r="M6" s="9"/>
    </row>
    <row r="7" spans="1:13" s="5" customFormat="1">
      <c r="A7" s="12" t="s">
        <v>15</v>
      </c>
      <c r="B7" s="41" t="s">
        <v>1238</v>
      </c>
      <c r="C7" s="13" t="s">
        <v>17</v>
      </c>
      <c r="D7" s="13" t="str">
        <f>"0,6224"</f>
        <v>0,6224</v>
      </c>
      <c r="E7" s="12" t="s">
        <v>18</v>
      </c>
      <c r="F7" s="12" t="s">
        <v>19</v>
      </c>
      <c r="G7" s="13" t="s">
        <v>20</v>
      </c>
      <c r="H7" s="13" t="s">
        <v>21</v>
      </c>
      <c r="I7" s="13" t="s">
        <v>22</v>
      </c>
      <c r="J7" s="14"/>
      <c r="K7" s="12" t="str">
        <f>"302,5"</f>
        <v>302,5</v>
      </c>
      <c r="L7" s="13" t="str">
        <f>"188,2760"</f>
        <v>188,2760</v>
      </c>
      <c r="M7" s="12"/>
    </row>
    <row r="9" spans="1:13" ht="15">
      <c r="A9" s="45" t="s">
        <v>23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3">
      <c r="A10" s="9" t="s">
        <v>25</v>
      </c>
      <c r="B10" s="10" t="s">
        <v>26</v>
      </c>
      <c r="C10" s="10" t="s">
        <v>27</v>
      </c>
      <c r="D10" s="10" t="str">
        <f>"0,6122"</f>
        <v>0,6122</v>
      </c>
      <c r="E10" s="9" t="s">
        <v>28</v>
      </c>
      <c r="F10" s="9" t="s">
        <v>29</v>
      </c>
      <c r="G10" s="10" t="s">
        <v>30</v>
      </c>
      <c r="H10" s="10" t="s">
        <v>31</v>
      </c>
      <c r="I10" s="10" t="s">
        <v>32</v>
      </c>
      <c r="J10" s="11"/>
      <c r="K10" s="9" t="str">
        <f>"230,0"</f>
        <v>230,0</v>
      </c>
      <c r="L10" s="10" t="str">
        <f>"140,8060"</f>
        <v>140,8060</v>
      </c>
      <c r="M10" s="9"/>
    </row>
    <row r="11" spans="1:13">
      <c r="A11" s="17" t="s">
        <v>34</v>
      </c>
      <c r="B11" s="15" t="s">
        <v>35</v>
      </c>
      <c r="C11" s="15" t="s">
        <v>36</v>
      </c>
      <c r="D11" s="15" t="str">
        <f>"0,6107"</f>
        <v>0,6107</v>
      </c>
      <c r="E11" s="17" t="s">
        <v>28</v>
      </c>
      <c r="F11" s="17" t="s">
        <v>37</v>
      </c>
      <c r="G11" s="15" t="s">
        <v>38</v>
      </c>
      <c r="H11" s="15" t="s">
        <v>39</v>
      </c>
      <c r="I11" s="15" t="s">
        <v>40</v>
      </c>
      <c r="J11" s="18"/>
      <c r="K11" s="17" t="str">
        <f>"215,0"</f>
        <v>215,0</v>
      </c>
      <c r="L11" s="15" t="str">
        <f>"131,3005"</f>
        <v>131,3005</v>
      </c>
      <c r="M11" s="17"/>
    </row>
    <row r="12" spans="1:13">
      <c r="A12" s="17" t="s">
        <v>41</v>
      </c>
      <c r="B12" s="15" t="s">
        <v>42</v>
      </c>
      <c r="C12" s="15" t="s">
        <v>43</v>
      </c>
      <c r="D12" s="15" t="str">
        <f>"0,5986"</f>
        <v>0,5986</v>
      </c>
      <c r="E12" s="17" t="s">
        <v>28</v>
      </c>
      <c r="F12" s="17" t="s">
        <v>29</v>
      </c>
      <c r="G12" s="18" t="s">
        <v>40</v>
      </c>
      <c r="H12" s="18" t="s">
        <v>40</v>
      </c>
      <c r="I12" s="18" t="s">
        <v>40</v>
      </c>
      <c r="J12" s="18"/>
      <c r="K12" s="17" t="str">
        <f>"0.00"</f>
        <v>0.00</v>
      </c>
      <c r="L12" s="15" t="str">
        <f>"0,0000"</f>
        <v>0,0000</v>
      </c>
      <c r="M12" s="17"/>
    </row>
    <row r="13" spans="1:13">
      <c r="A13" s="12" t="s">
        <v>45</v>
      </c>
      <c r="B13" s="13" t="s">
        <v>46</v>
      </c>
      <c r="C13" s="13" t="s">
        <v>47</v>
      </c>
      <c r="D13" s="13" t="str">
        <f>"0,5922"</f>
        <v>0,5922</v>
      </c>
      <c r="E13" s="12" t="s">
        <v>28</v>
      </c>
      <c r="F13" s="12" t="s">
        <v>48</v>
      </c>
      <c r="G13" s="13" t="s">
        <v>49</v>
      </c>
      <c r="H13" s="13" t="s">
        <v>50</v>
      </c>
      <c r="I13" s="13" t="s">
        <v>51</v>
      </c>
      <c r="J13" s="14"/>
      <c r="K13" s="12" t="str">
        <f>"215,0"</f>
        <v>215,0</v>
      </c>
      <c r="L13" s="13" t="str">
        <f>"264,3225"</f>
        <v>264,3225</v>
      </c>
      <c r="M13" s="12"/>
    </row>
    <row r="15" spans="1:13" ht="15">
      <c r="A15" s="45" t="s">
        <v>52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3">
      <c r="A16" s="9" t="s">
        <v>54</v>
      </c>
      <c r="B16" s="10" t="s">
        <v>55</v>
      </c>
      <c r="C16" s="10" t="s">
        <v>56</v>
      </c>
      <c r="D16" s="10" t="str">
        <f>"0,5570"</f>
        <v>0,5570</v>
      </c>
      <c r="E16" s="9" t="s">
        <v>28</v>
      </c>
      <c r="F16" s="9" t="s">
        <v>57</v>
      </c>
      <c r="G16" s="10" t="s">
        <v>58</v>
      </c>
      <c r="H16" s="10" t="s">
        <v>59</v>
      </c>
      <c r="I16" s="11" t="s">
        <v>60</v>
      </c>
      <c r="J16" s="11"/>
      <c r="K16" s="9" t="str">
        <f>"310,0"</f>
        <v>310,0</v>
      </c>
      <c r="L16" s="10" t="str">
        <f>"172,6700"</f>
        <v>172,6700</v>
      </c>
      <c r="M16" s="9"/>
    </row>
    <row r="17" spans="1:13">
      <c r="A17" s="17" t="s">
        <v>62</v>
      </c>
      <c r="B17" s="15" t="s">
        <v>63</v>
      </c>
      <c r="C17" s="15" t="s">
        <v>64</v>
      </c>
      <c r="D17" s="15" t="str">
        <f>"0,5616"</f>
        <v>0,5616</v>
      </c>
      <c r="E17" s="17" t="s">
        <v>18</v>
      </c>
      <c r="F17" s="17" t="s">
        <v>29</v>
      </c>
      <c r="G17" s="15" t="s">
        <v>65</v>
      </c>
      <c r="H17" s="18"/>
      <c r="I17" s="18"/>
      <c r="J17" s="18"/>
      <c r="K17" s="17" t="str">
        <f>"300,0"</f>
        <v>300,0</v>
      </c>
      <c r="L17" s="15" t="str">
        <f>"168,4800"</f>
        <v>168,4800</v>
      </c>
      <c r="M17" s="17"/>
    </row>
    <row r="18" spans="1:13">
      <c r="A18" s="17" t="s">
        <v>54</v>
      </c>
      <c r="B18" s="43" t="s">
        <v>1239</v>
      </c>
      <c r="C18" s="15" t="s">
        <v>56</v>
      </c>
      <c r="D18" s="15" t="str">
        <f>"0,5570"</f>
        <v>0,5570</v>
      </c>
      <c r="E18" s="17" t="s">
        <v>28</v>
      </c>
      <c r="F18" s="17" t="s">
        <v>57</v>
      </c>
      <c r="G18" s="15" t="s">
        <v>58</v>
      </c>
      <c r="H18" s="15" t="s">
        <v>59</v>
      </c>
      <c r="I18" s="18" t="s">
        <v>60</v>
      </c>
      <c r="J18" s="18"/>
      <c r="K18" s="17" t="str">
        <f>"310,0"</f>
        <v>310,0</v>
      </c>
      <c r="L18" s="15" t="str">
        <f>"172,6700"</f>
        <v>172,6700</v>
      </c>
      <c r="M18" s="17"/>
    </row>
    <row r="19" spans="1:13">
      <c r="A19" s="12" t="s">
        <v>62</v>
      </c>
      <c r="B19" s="41" t="s">
        <v>1235</v>
      </c>
      <c r="C19" s="13" t="s">
        <v>64</v>
      </c>
      <c r="D19" s="13" t="str">
        <f>"0,5616"</f>
        <v>0,5616</v>
      </c>
      <c r="E19" s="12" t="s">
        <v>18</v>
      </c>
      <c r="F19" s="12" t="s">
        <v>29</v>
      </c>
      <c r="G19" s="13" t="s">
        <v>65</v>
      </c>
      <c r="H19" s="14"/>
      <c r="I19" s="14"/>
      <c r="J19" s="14"/>
      <c r="K19" s="12" t="str">
        <f>"300,0"</f>
        <v>300,0</v>
      </c>
      <c r="L19" s="13" t="str">
        <f>"168,4800"</f>
        <v>168,4800</v>
      </c>
      <c r="M19" s="12"/>
    </row>
    <row r="21" spans="1:13" ht="15">
      <c r="A21" s="45" t="s">
        <v>66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3">
      <c r="A22" s="19" t="s">
        <v>68</v>
      </c>
      <c r="B22" s="16" t="s">
        <v>69</v>
      </c>
      <c r="C22" s="16" t="s">
        <v>70</v>
      </c>
      <c r="D22" s="16" t="str">
        <f>"0,5384"</f>
        <v>0,5384</v>
      </c>
      <c r="E22" s="19" t="s">
        <v>28</v>
      </c>
      <c r="F22" s="19" t="s">
        <v>29</v>
      </c>
      <c r="G22" s="16" t="s">
        <v>71</v>
      </c>
      <c r="H22" s="16" t="s">
        <v>72</v>
      </c>
      <c r="I22" s="16" t="s">
        <v>73</v>
      </c>
      <c r="J22" s="20"/>
      <c r="K22" s="19" t="str">
        <f>"290,0"</f>
        <v>290,0</v>
      </c>
      <c r="L22" s="16" t="str">
        <f>"156,1360"</f>
        <v>156,1360</v>
      </c>
      <c r="M22" s="19"/>
    </row>
    <row r="24" spans="1:13" ht="15">
      <c r="A24" s="45" t="s">
        <v>74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3">
      <c r="A25" s="19" t="s">
        <v>76</v>
      </c>
      <c r="B25" s="16" t="s">
        <v>77</v>
      </c>
      <c r="C25" s="16" t="s">
        <v>78</v>
      </c>
      <c r="D25" s="16" t="str">
        <f>"0,5305"</f>
        <v>0,5305</v>
      </c>
      <c r="E25" s="19" t="s">
        <v>28</v>
      </c>
      <c r="F25" s="19" t="s">
        <v>29</v>
      </c>
      <c r="G25" s="16" t="s">
        <v>79</v>
      </c>
      <c r="H25" s="16" t="s">
        <v>49</v>
      </c>
      <c r="I25" s="20" t="s">
        <v>80</v>
      </c>
      <c r="J25" s="20"/>
      <c r="K25" s="19" t="str">
        <f>"190,0"</f>
        <v>190,0</v>
      </c>
      <c r="L25" s="16" t="str">
        <f>"182,4389"</f>
        <v>182,4389</v>
      </c>
      <c r="M25" s="19"/>
    </row>
    <row r="27" spans="1:13">
      <c r="E27" s="31" t="s">
        <v>1095</v>
      </c>
    </row>
    <row r="28" spans="1:13">
      <c r="E28" s="31" t="s">
        <v>1240</v>
      </c>
    </row>
    <row r="29" spans="1:13">
      <c r="E29" s="31" t="s">
        <v>1096</v>
      </c>
    </row>
    <row r="30" spans="1:13">
      <c r="E30" s="31" t="s">
        <v>1241</v>
      </c>
    </row>
    <row r="31" spans="1:13">
      <c r="E31" s="31" t="s">
        <v>1097</v>
      </c>
    </row>
    <row r="35" spans="1:5" ht="18">
      <c r="A35" s="21" t="s">
        <v>81</v>
      </c>
      <c r="B35" s="22"/>
    </row>
    <row r="36" spans="1:5" ht="15">
      <c r="A36" s="23" t="s">
        <v>82</v>
      </c>
      <c r="B36" s="24"/>
    </row>
    <row r="37" spans="1:5" ht="14.25">
      <c r="A37" s="26"/>
      <c r="B37" s="27" t="s">
        <v>83</v>
      </c>
    </row>
    <row r="38" spans="1:5" ht="15">
      <c r="A38" s="28" t="s">
        <v>0</v>
      </c>
      <c r="B38" s="28" t="s">
        <v>84</v>
      </c>
      <c r="C38" s="28" t="s">
        <v>85</v>
      </c>
      <c r="D38" s="28" t="s">
        <v>86</v>
      </c>
      <c r="E38" s="28" t="s">
        <v>11</v>
      </c>
    </row>
    <row r="39" spans="1:5">
      <c r="A39" s="25" t="s">
        <v>14</v>
      </c>
      <c r="B39" s="5" t="s">
        <v>83</v>
      </c>
      <c r="C39" s="5" t="s">
        <v>87</v>
      </c>
      <c r="D39" s="5" t="s">
        <v>22</v>
      </c>
      <c r="E39" s="29" t="s">
        <v>88</v>
      </c>
    </row>
    <row r="40" spans="1:5">
      <c r="A40" s="25" t="s">
        <v>53</v>
      </c>
      <c r="B40" s="5" t="s">
        <v>83</v>
      </c>
      <c r="C40" s="5" t="s">
        <v>89</v>
      </c>
      <c r="D40" s="5" t="s">
        <v>90</v>
      </c>
      <c r="E40" s="29" t="s">
        <v>91</v>
      </c>
    </row>
    <row r="41" spans="1:5">
      <c r="A41" s="25" t="s">
        <v>61</v>
      </c>
      <c r="B41" s="5" t="s">
        <v>83</v>
      </c>
      <c r="C41" s="5" t="s">
        <v>89</v>
      </c>
      <c r="D41" s="5" t="s">
        <v>65</v>
      </c>
      <c r="E41" s="29" t="s">
        <v>92</v>
      </c>
    </row>
    <row r="42" spans="1:5">
      <c r="A42" s="25" t="s">
        <v>67</v>
      </c>
      <c r="B42" s="5" t="s">
        <v>83</v>
      </c>
      <c r="C42" s="5" t="s">
        <v>93</v>
      </c>
      <c r="D42" s="5" t="s">
        <v>94</v>
      </c>
      <c r="E42" s="29" t="s">
        <v>95</v>
      </c>
    </row>
    <row r="43" spans="1:5">
      <c r="A43" s="25" t="s">
        <v>24</v>
      </c>
      <c r="B43" s="5" t="s">
        <v>83</v>
      </c>
      <c r="C43" s="5" t="s">
        <v>96</v>
      </c>
      <c r="D43" s="5" t="s">
        <v>97</v>
      </c>
      <c r="E43" s="29" t="s">
        <v>98</v>
      </c>
    </row>
    <row r="44" spans="1:5">
      <c r="A44" s="25" t="s">
        <v>33</v>
      </c>
      <c r="B44" s="5" t="s">
        <v>83</v>
      </c>
      <c r="C44" s="5" t="s">
        <v>96</v>
      </c>
      <c r="D44" s="5" t="s">
        <v>40</v>
      </c>
      <c r="E44" s="29" t="s">
        <v>99</v>
      </c>
    </row>
    <row r="46" spans="1:5" ht="14.25">
      <c r="A46" s="26"/>
      <c r="B46" s="27" t="s">
        <v>100</v>
      </c>
    </row>
    <row r="47" spans="1:5" ht="15">
      <c r="A47" s="28" t="s">
        <v>0</v>
      </c>
      <c r="B47" s="28" t="s">
        <v>84</v>
      </c>
      <c r="C47" s="28" t="s">
        <v>85</v>
      </c>
      <c r="D47" s="28" t="s">
        <v>86</v>
      </c>
      <c r="E47" s="28" t="s">
        <v>11</v>
      </c>
    </row>
    <row r="48" spans="1:5">
      <c r="A48" s="25" t="s">
        <v>14</v>
      </c>
      <c r="B48" s="42" t="s">
        <v>1229</v>
      </c>
      <c r="C48" s="5" t="s">
        <v>87</v>
      </c>
      <c r="D48" s="5" t="s">
        <v>22</v>
      </c>
      <c r="E48" s="29" t="s">
        <v>88</v>
      </c>
    </row>
    <row r="49" spans="1:5">
      <c r="A49" s="25" t="s">
        <v>53</v>
      </c>
      <c r="B49" s="42" t="s">
        <v>1229</v>
      </c>
      <c r="C49" s="5" t="s">
        <v>89</v>
      </c>
      <c r="D49" s="5" t="s">
        <v>90</v>
      </c>
      <c r="E49" s="29" t="s">
        <v>91</v>
      </c>
    </row>
    <row r="50" spans="1:5">
      <c r="A50" s="25" t="s">
        <v>61</v>
      </c>
      <c r="B50" s="42" t="s">
        <v>1229</v>
      </c>
      <c r="C50" s="5" t="s">
        <v>89</v>
      </c>
      <c r="D50" s="5" t="s">
        <v>65</v>
      </c>
      <c r="E50" s="29" t="s">
        <v>92</v>
      </c>
    </row>
    <row r="52" spans="1:5" ht="14.25">
      <c r="A52" s="26"/>
      <c r="B52" s="27" t="s">
        <v>102</v>
      </c>
    </row>
    <row r="53" spans="1:5" ht="15">
      <c r="A53" s="28" t="s">
        <v>0</v>
      </c>
      <c r="B53" s="28" t="s">
        <v>84</v>
      </c>
      <c r="C53" s="28" t="s">
        <v>85</v>
      </c>
      <c r="D53" s="28" t="s">
        <v>86</v>
      </c>
      <c r="E53" s="28" t="s">
        <v>11</v>
      </c>
    </row>
    <row r="54" spans="1:5">
      <c r="A54" s="25" t="s">
        <v>44</v>
      </c>
      <c r="B54" s="5" t="s">
        <v>103</v>
      </c>
      <c r="C54" s="5" t="s">
        <v>96</v>
      </c>
      <c r="D54" s="5" t="s">
        <v>40</v>
      </c>
      <c r="E54" s="29" t="s">
        <v>104</v>
      </c>
    </row>
    <row r="55" spans="1:5">
      <c r="A55" s="25" t="s">
        <v>75</v>
      </c>
      <c r="B55" s="5" t="s">
        <v>105</v>
      </c>
      <c r="C55" s="5" t="s">
        <v>106</v>
      </c>
      <c r="D55" s="5" t="s">
        <v>38</v>
      </c>
      <c r="E55" s="29" t="s">
        <v>107</v>
      </c>
    </row>
  </sheetData>
  <mergeCells count="16"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  <mergeCell ref="E3:E4"/>
    <mergeCell ref="A5:L5"/>
    <mergeCell ref="A9:L9"/>
    <mergeCell ref="A15:L15"/>
    <mergeCell ref="A21:L21"/>
    <mergeCell ref="A24:L24"/>
  </mergeCells>
  <phoneticPr fontId="0" type="noConversion"/>
  <pageMargins left="0.19685039370078741" right="0.47244094488188981" top="0.43307086614173229" bottom="0.47244094488188981" header="0.51181102362204722" footer="0.51181102362204722"/>
  <pageSetup scale="65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23"/>
  <sheetViews>
    <sheetView topLeftCell="A6" workbookViewId="0">
      <selection activeCell="E11" sqref="E11:F15"/>
    </sheetView>
  </sheetViews>
  <sheetFormatPr defaultRowHeight="12.75"/>
  <cols>
    <col min="1" max="1" width="20.7109375" customWidth="1"/>
    <col min="2" max="2" width="28.42578125" customWidth="1"/>
    <col min="6" max="6" width="18.42578125" customWidth="1"/>
  </cols>
  <sheetData>
    <row r="1" spans="1:11" ht="13.5" customHeight="1">
      <c r="A1" s="54" t="s">
        <v>1111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 ht="96.75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1" ht="27.75" customHeight="1">
      <c r="A3" s="60" t="s">
        <v>0</v>
      </c>
      <c r="B3" s="62" t="s">
        <v>10</v>
      </c>
      <c r="C3" s="62" t="s">
        <v>8</v>
      </c>
      <c r="D3" s="48" t="s">
        <v>1025</v>
      </c>
      <c r="E3" s="48" t="s">
        <v>1</v>
      </c>
      <c r="F3" s="63" t="s">
        <v>12</v>
      </c>
      <c r="G3" s="60" t="s">
        <v>1112</v>
      </c>
      <c r="H3" s="48"/>
      <c r="I3" s="46" t="s">
        <v>108</v>
      </c>
      <c r="J3" s="48" t="s">
        <v>6</v>
      </c>
      <c r="K3" s="50" t="s">
        <v>5</v>
      </c>
    </row>
    <row r="4" spans="1:11" ht="15" customHeight="1" thickBot="1">
      <c r="A4" s="61"/>
      <c r="B4" s="49"/>
      <c r="C4" s="49"/>
      <c r="D4" s="49"/>
      <c r="E4" s="49"/>
      <c r="F4" s="64"/>
      <c r="G4" s="33" t="s">
        <v>1113</v>
      </c>
      <c r="H4" s="34" t="s">
        <v>1114</v>
      </c>
      <c r="I4" s="47"/>
      <c r="J4" s="49"/>
      <c r="K4" s="51"/>
    </row>
    <row r="5" spans="1:11" ht="15">
      <c r="A5" s="52" t="s">
        <v>315</v>
      </c>
      <c r="B5" s="53"/>
      <c r="C5" s="53"/>
      <c r="D5" s="53"/>
      <c r="E5" s="53"/>
      <c r="F5" s="53"/>
      <c r="G5" s="53"/>
      <c r="H5" s="53"/>
      <c r="I5" s="53"/>
      <c r="J5" s="53"/>
      <c r="K5" s="4"/>
    </row>
    <row r="6" spans="1:11">
      <c r="A6" s="19" t="s">
        <v>525</v>
      </c>
      <c r="B6" s="16" t="s">
        <v>526</v>
      </c>
      <c r="C6" s="16" t="s">
        <v>527</v>
      </c>
      <c r="D6" s="16" t="str">
        <f>"1,1144"</f>
        <v>1,1144</v>
      </c>
      <c r="E6" s="19" t="s">
        <v>28</v>
      </c>
      <c r="F6" s="19" t="s">
        <v>19</v>
      </c>
      <c r="G6" s="16" t="s">
        <v>1115</v>
      </c>
      <c r="H6" s="35" t="s">
        <v>1116</v>
      </c>
      <c r="I6" s="19" t="str">
        <f>"1072,5"</f>
        <v>1072,5</v>
      </c>
      <c r="J6" s="16" t="str">
        <f>"1195,1940"</f>
        <v>1195,1940</v>
      </c>
      <c r="K6" s="19"/>
    </row>
    <row r="7" spans="1:11">
      <c r="A7" s="4"/>
      <c r="B7" s="5"/>
      <c r="C7" s="5"/>
      <c r="D7" s="5"/>
      <c r="E7" s="4"/>
      <c r="F7" s="4"/>
      <c r="G7" s="5"/>
      <c r="H7" s="36"/>
      <c r="I7" s="4"/>
      <c r="J7" s="5"/>
      <c r="K7" s="4"/>
    </row>
    <row r="8" spans="1:11" ht="15">
      <c r="A8" s="45" t="s">
        <v>531</v>
      </c>
      <c r="B8" s="45"/>
      <c r="C8" s="45"/>
      <c r="D8" s="45"/>
      <c r="E8" s="45"/>
      <c r="F8" s="45"/>
      <c r="G8" s="45"/>
      <c r="H8" s="45"/>
      <c r="I8" s="45"/>
      <c r="J8" s="45"/>
      <c r="K8" s="4"/>
    </row>
    <row r="9" spans="1:11">
      <c r="A9" s="19" t="s">
        <v>1117</v>
      </c>
      <c r="B9" s="16" t="s">
        <v>1118</v>
      </c>
      <c r="C9" s="16" t="s">
        <v>1119</v>
      </c>
      <c r="D9" s="16" t="str">
        <f>"1,0606"</f>
        <v>1,0606</v>
      </c>
      <c r="E9" s="19" t="s">
        <v>28</v>
      </c>
      <c r="F9" s="19" t="s">
        <v>673</v>
      </c>
      <c r="G9" s="16" t="s">
        <v>1115</v>
      </c>
      <c r="H9" s="35" t="s">
        <v>1120</v>
      </c>
      <c r="I9" s="19" t="str">
        <f>"880,0"</f>
        <v>880,0</v>
      </c>
      <c r="J9" s="16" t="str">
        <f>"933,3280"</f>
        <v>933,3280</v>
      </c>
      <c r="K9" s="19"/>
    </row>
    <row r="10" spans="1:11">
      <c r="A10" s="4"/>
      <c r="B10" s="5"/>
      <c r="C10" s="5"/>
      <c r="D10" s="5"/>
      <c r="E10" s="4"/>
      <c r="F10" s="4"/>
      <c r="G10" s="5"/>
      <c r="H10" s="36"/>
      <c r="I10" s="4"/>
      <c r="J10" s="5"/>
      <c r="K10" s="4"/>
    </row>
    <row r="11" spans="1:11">
      <c r="A11" s="4"/>
      <c r="B11" s="5"/>
      <c r="C11" s="5"/>
      <c r="D11" s="5"/>
      <c r="E11" s="31" t="s">
        <v>1095</v>
      </c>
      <c r="F11" s="4"/>
      <c r="G11" s="5"/>
      <c r="H11" s="36"/>
      <c r="I11" s="4"/>
      <c r="J11" s="5"/>
      <c r="K11" s="4"/>
    </row>
    <row r="12" spans="1:11">
      <c r="A12" s="4"/>
      <c r="B12" s="5"/>
      <c r="C12" s="5"/>
      <c r="D12" s="5"/>
      <c r="E12" s="31" t="s">
        <v>1240</v>
      </c>
      <c r="F12" s="4"/>
      <c r="G12" s="5"/>
      <c r="H12" s="36"/>
      <c r="I12" s="4"/>
      <c r="J12" s="5"/>
      <c r="K12" s="4"/>
    </row>
    <row r="13" spans="1:11">
      <c r="A13" s="4"/>
      <c r="B13" s="5"/>
      <c r="C13" s="5"/>
      <c r="D13" s="5"/>
      <c r="E13" s="31" t="s">
        <v>1096</v>
      </c>
      <c r="F13" s="4"/>
      <c r="G13" s="5"/>
      <c r="H13" s="36"/>
      <c r="I13" s="4"/>
      <c r="J13" s="5"/>
      <c r="K13" s="4"/>
    </row>
    <row r="14" spans="1:11">
      <c r="A14" s="4"/>
      <c r="B14" s="5"/>
      <c r="C14" s="5"/>
      <c r="D14" s="5"/>
      <c r="E14" s="31" t="s">
        <v>1241</v>
      </c>
      <c r="F14" s="4"/>
      <c r="G14" s="5"/>
      <c r="H14" s="36"/>
      <c r="I14" s="4"/>
      <c r="J14" s="5"/>
      <c r="K14" s="4"/>
    </row>
    <row r="15" spans="1:11">
      <c r="A15" s="4"/>
      <c r="B15" s="5"/>
      <c r="C15" s="5"/>
      <c r="D15" s="5"/>
      <c r="E15" s="31" t="s">
        <v>1097</v>
      </c>
      <c r="F15" s="4"/>
      <c r="G15" s="5"/>
      <c r="H15" s="36"/>
      <c r="I15" s="4"/>
      <c r="J15" s="5"/>
      <c r="K15" s="4"/>
    </row>
    <row r="16" spans="1:11">
      <c r="A16" s="4"/>
      <c r="B16" s="5"/>
      <c r="C16" s="5"/>
      <c r="D16" s="5"/>
      <c r="E16" s="4"/>
      <c r="F16" s="4"/>
      <c r="G16" s="5"/>
      <c r="H16" s="36"/>
      <c r="I16" s="4"/>
      <c r="J16" s="5"/>
      <c r="K16" s="4"/>
    </row>
    <row r="17" spans="1:11">
      <c r="A17" s="4"/>
      <c r="B17" s="5"/>
      <c r="C17" s="5"/>
      <c r="D17" s="5"/>
      <c r="E17" s="4"/>
      <c r="F17" s="4"/>
      <c r="G17" s="5"/>
      <c r="H17" s="36"/>
      <c r="I17" s="4"/>
      <c r="J17" s="5"/>
      <c r="K17" s="4"/>
    </row>
    <row r="18" spans="1:11">
      <c r="A18" s="4"/>
      <c r="B18" s="5"/>
      <c r="C18" s="5"/>
      <c r="D18" s="5"/>
      <c r="E18" s="4"/>
      <c r="F18" s="4"/>
      <c r="G18" s="5"/>
      <c r="H18" s="36"/>
      <c r="I18" s="4"/>
      <c r="J18" s="5"/>
      <c r="K18" s="4"/>
    </row>
    <row r="19" spans="1:11" ht="18">
      <c r="A19" s="21" t="s">
        <v>81</v>
      </c>
      <c r="B19" s="22"/>
      <c r="C19" s="5"/>
      <c r="D19" s="5"/>
      <c r="E19" s="4"/>
      <c r="F19" s="4"/>
      <c r="G19" s="5"/>
      <c r="H19" s="36"/>
      <c r="I19" s="4"/>
      <c r="J19" s="5"/>
      <c r="K19" s="4"/>
    </row>
    <row r="20" spans="1:11" ht="15">
      <c r="A20" s="23" t="s">
        <v>229</v>
      </c>
      <c r="B20" s="32"/>
      <c r="C20" s="5"/>
      <c r="D20" s="5"/>
      <c r="E20" s="4"/>
      <c r="F20" s="4"/>
      <c r="G20" s="5"/>
      <c r="H20" s="36"/>
      <c r="I20" s="4"/>
      <c r="J20" s="5"/>
      <c r="K20" s="4"/>
    </row>
    <row r="21" spans="1:11" ht="14.25">
      <c r="A21" s="26"/>
      <c r="B21" s="27" t="s">
        <v>471</v>
      </c>
      <c r="C21" s="5"/>
      <c r="D21" s="5"/>
      <c r="E21" s="4"/>
      <c r="F21" s="4"/>
      <c r="G21" s="5"/>
      <c r="H21" s="36"/>
      <c r="I21" s="4"/>
      <c r="J21" s="5"/>
      <c r="K21" s="4"/>
    </row>
    <row r="22" spans="1:11" ht="15">
      <c r="A22" s="28" t="s">
        <v>0</v>
      </c>
      <c r="B22" s="28" t="s">
        <v>84</v>
      </c>
      <c r="C22" s="28" t="s">
        <v>85</v>
      </c>
      <c r="D22" s="28" t="s">
        <v>86</v>
      </c>
      <c r="E22" s="28" t="s">
        <v>1025</v>
      </c>
      <c r="F22" s="4"/>
      <c r="G22" s="5"/>
      <c r="H22" s="36"/>
      <c r="I22" s="4"/>
      <c r="J22" s="5"/>
      <c r="K22" s="4"/>
    </row>
    <row r="23" spans="1:11">
      <c r="A23" s="25" t="s">
        <v>1121</v>
      </c>
      <c r="B23" s="5" t="s">
        <v>472</v>
      </c>
      <c r="C23" s="5" t="s">
        <v>814</v>
      </c>
      <c r="D23" s="5" t="s">
        <v>1122</v>
      </c>
      <c r="E23" s="29" t="s">
        <v>1123</v>
      </c>
      <c r="F23" s="4"/>
      <c r="G23" s="5"/>
      <c r="H23" s="36"/>
      <c r="I23" s="4"/>
      <c r="J23" s="5"/>
      <c r="K23" s="4"/>
    </row>
    <row r="24" spans="1:11">
      <c r="A24" s="4"/>
      <c r="B24" s="5"/>
      <c r="C24" s="5"/>
      <c r="D24" s="5"/>
      <c r="E24" s="4"/>
      <c r="F24" s="4"/>
      <c r="G24" s="5"/>
      <c r="H24" s="36"/>
      <c r="I24" s="4"/>
      <c r="J24" s="5"/>
      <c r="K24" s="4"/>
    </row>
    <row r="25" spans="1:11" ht="14.25">
      <c r="A25" s="26"/>
      <c r="B25" s="27" t="s">
        <v>83</v>
      </c>
      <c r="C25" s="5"/>
      <c r="D25" s="5"/>
      <c r="E25" s="4"/>
      <c r="F25" s="4"/>
      <c r="G25" s="5"/>
      <c r="H25" s="36"/>
      <c r="I25" s="4"/>
      <c r="J25" s="5"/>
      <c r="K25" s="4"/>
    </row>
    <row r="26" spans="1:11" ht="15">
      <c r="A26" s="28" t="s">
        <v>0</v>
      </c>
      <c r="B26" s="28" t="s">
        <v>84</v>
      </c>
      <c r="C26" s="28" t="s">
        <v>85</v>
      </c>
      <c r="D26" s="28" t="s">
        <v>86</v>
      </c>
      <c r="E26" s="28" t="s">
        <v>1025</v>
      </c>
      <c r="F26" s="4"/>
      <c r="G26" s="5"/>
      <c r="H26" s="36"/>
      <c r="I26" s="4"/>
      <c r="J26" s="5"/>
      <c r="K26" s="4"/>
    </row>
    <row r="27" spans="1:11">
      <c r="A27" s="25" t="s">
        <v>524</v>
      </c>
      <c r="B27" s="5" t="s">
        <v>83</v>
      </c>
      <c r="C27" s="5" t="s">
        <v>474</v>
      </c>
      <c r="D27" s="5" t="s">
        <v>1124</v>
      </c>
      <c r="E27" s="29" t="s">
        <v>1125</v>
      </c>
      <c r="F27" s="4"/>
      <c r="G27" s="5"/>
      <c r="H27" s="36"/>
      <c r="I27" s="4"/>
      <c r="J27" s="5"/>
      <c r="K27" s="4"/>
    </row>
    <row r="61" spans="12:13">
      <c r="L61" s="5"/>
      <c r="M61" s="4"/>
    </row>
    <row r="62" spans="12:13">
      <c r="L62" s="5"/>
      <c r="M62" s="4"/>
    </row>
    <row r="63" spans="12:13">
      <c r="L63" s="5"/>
      <c r="M63" s="4"/>
    </row>
    <row r="64" spans="12:13">
      <c r="L64" s="5"/>
      <c r="M64" s="4"/>
    </row>
    <row r="65" spans="12:13">
      <c r="L65" s="5"/>
      <c r="M65" s="4"/>
    </row>
    <row r="66" spans="12:13">
      <c r="L66" s="5"/>
      <c r="M66" s="4"/>
    </row>
    <row r="67" spans="12:13">
      <c r="L67" s="5"/>
      <c r="M67" s="4"/>
    </row>
    <row r="68" spans="12:13">
      <c r="L68" s="5"/>
      <c r="M68" s="4"/>
    </row>
    <row r="69" spans="12:13">
      <c r="L69" s="5"/>
      <c r="M69" s="4"/>
    </row>
    <row r="70" spans="12:13">
      <c r="L70" s="5"/>
      <c r="M70" s="4"/>
    </row>
    <row r="71" spans="12:13">
      <c r="L71" s="5"/>
      <c r="M71" s="4"/>
    </row>
    <row r="72" spans="12:13">
      <c r="L72" s="5"/>
      <c r="M72" s="4"/>
    </row>
    <row r="73" spans="12:13">
      <c r="L73" s="5"/>
      <c r="M73" s="4"/>
    </row>
    <row r="74" spans="12:13">
      <c r="L74" s="5"/>
      <c r="M74" s="4"/>
    </row>
    <row r="75" spans="12:13">
      <c r="L75" s="5"/>
      <c r="M75" s="4"/>
    </row>
    <row r="76" spans="12:13">
      <c r="L76" s="5"/>
      <c r="M76" s="4"/>
    </row>
    <row r="77" spans="12:13">
      <c r="L77" s="5"/>
      <c r="M77" s="4"/>
    </row>
    <row r="78" spans="12:13">
      <c r="L78" s="5"/>
      <c r="M78" s="4"/>
    </row>
    <row r="79" spans="12:13">
      <c r="L79" s="5"/>
      <c r="M79" s="4"/>
    </row>
    <row r="80" spans="12:13">
      <c r="L80" s="5"/>
      <c r="M80" s="4"/>
    </row>
    <row r="81" spans="1:13">
      <c r="L81" s="5"/>
      <c r="M81" s="4"/>
    </row>
    <row r="82" spans="1:13">
      <c r="L82" s="5"/>
      <c r="M82" s="4"/>
    </row>
    <row r="83" spans="1:13">
      <c r="L83" s="5"/>
      <c r="M83" s="4"/>
    </row>
    <row r="84" spans="1:13">
      <c r="L84" s="5"/>
      <c r="M84" s="4"/>
    </row>
    <row r="85" spans="1:13">
      <c r="L85" s="5"/>
      <c r="M85" s="4"/>
    </row>
    <row r="86" spans="1:13">
      <c r="L86" s="5"/>
      <c r="M86" s="4"/>
    </row>
    <row r="87" spans="1:13">
      <c r="L87" s="5"/>
      <c r="M87" s="4"/>
    </row>
    <row r="88" spans="1:13">
      <c r="A88" s="4"/>
      <c r="B88" s="5"/>
      <c r="C88" s="5"/>
      <c r="D88" s="5"/>
      <c r="E88" s="4"/>
      <c r="F88" s="4"/>
      <c r="G88" s="5"/>
      <c r="H88" s="5"/>
      <c r="I88" s="5"/>
      <c r="J88" s="5"/>
      <c r="K88" s="4"/>
      <c r="L88" s="5"/>
      <c r="M88" s="4"/>
    </row>
    <row r="89" spans="1:13">
      <c r="A89" s="4"/>
      <c r="B89" s="5"/>
      <c r="C89" s="5"/>
      <c r="D89" s="5"/>
      <c r="E89" s="4"/>
      <c r="F89" s="4"/>
      <c r="G89" s="5"/>
      <c r="H89" s="5"/>
      <c r="I89" s="5"/>
      <c r="J89" s="5"/>
      <c r="K89" s="4"/>
      <c r="L89" s="5"/>
      <c r="M89" s="4"/>
    </row>
    <row r="90" spans="1:13">
      <c r="A90" s="4"/>
      <c r="B90" s="5"/>
      <c r="C90" s="5"/>
      <c r="D90" s="5"/>
      <c r="E90" s="4"/>
      <c r="F90" s="4"/>
      <c r="G90" s="5"/>
      <c r="H90" s="5"/>
      <c r="I90" s="5"/>
      <c r="J90" s="5"/>
      <c r="K90" s="4"/>
      <c r="L90" s="5"/>
      <c r="M90" s="4"/>
    </row>
    <row r="91" spans="1:13">
      <c r="A91" s="4"/>
      <c r="B91" s="5"/>
      <c r="C91" s="5"/>
      <c r="D91" s="5"/>
      <c r="E91" s="4"/>
      <c r="F91" s="4"/>
      <c r="G91" s="5"/>
      <c r="H91" s="5"/>
      <c r="I91" s="5"/>
      <c r="J91" s="5"/>
      <c r="K91" s="4"/>
      <c r="L91" s="5"/>
      <c r="M91" s="4"/>
    </row>
    <row r="92" spans="1:13">
      <c r="A92" s="4"/>
      <c r="B92" s="5"/>
      <c r="C92" s="5"/>
      <c r="D92" s="5"/>
      <c r="E92" s="4"/>
      <c r="F92" s="4"/>
      <c r="G92" s="5"/>
      <c r="H92" s="5"/>
      <c r="I92" s="5"/>
      <c r="J92" s="5"/>
      <c r="K92" s="4"/>
      <c r="L92" s="5"/>
      <c r="M92" s="4"/>
    </row>
    <row r="93" spans="1:13">
      <c r="A93" s="4"/>
      <c r="B93" s="5"/>
      <c r="C93" s="5"/>
      <c r="D93" s="5"/>
      <c r="E93" s="4"/>
      <c r="F93" s="4"/>
      <c r="G93" s="5"/>
      <c r="H93" s="5"/>
      <c r="I93" s="5"/>
      <c r="J93" s="5"/>
      <c r="K93" s="4"/>
      <c r="L93" s="5"/>
      <c r="M93" s="4"/>
    </row>
    <row r="94" spans="1:13">
      <c r="A94" s="4"/>
      <c r="B94" s="5"/>
      <c r="C94" s="5"/>
      <c r="D94" s="5"/>
      <c r="E94" s="4"/>
      <c r="F94" s="4"/>
      <c r="G94" s="5"/>
      <c r="H94" s="5"/>
      <c r="I94" s="5"/>
      <c r="J94" s="5"/>
      <c r="K94" s="4"/>
      <c r="L94" s="5"/>
      <c r="M94" s="4"/>
    </row>
    <row r="95" spans="1:13">
      <c r="A95" s="4"/>
      <c r="B95" s="5"/>
      <c r="C95" s="5"/>
      <c r="D95" s="5"/>
      <c r="E95" s="4"/>
      <c r="F95" s="4"/>
      <c r="G95" s="5"/>
      <c r="H95" s="5"/>
      <c r="I95" s="5"/>
      <c r="J95" s="5"/>
      <c r="K95" s="4"/>
      <c r="L95" s="5"/>
      <c r="M95" s="4"/>
    </row>
    <row r="96" spans="1:13">
      <c r="A96" s="4"/>
      <c r="B96" s="5"/>
      <c r="C96" s="5"/>
      <c r="D96" s="5"/>
      <c r="E96" s="4"/>
      <c r="F96" s="4"/>
      <c r="G96" s="5"/>
      <c r="H96" s="5"/>
      <c r="I96" s="5"/>
      <c r="J96" s="5"/>
      <c r="K96" s="4"/>
      <c r="L96" s="5"/>
      <c r="M96" s="4"/>
    </row>
    <row r="97" spans="1:11">
      <c r="A97" s="4"/>
      <c r="B97" s="5"/>
      <c r="C97" s="5"/>
      <c r="D97" s="5"/>
      <c r="E97" s="4"/>
      <c r="F97" s="4"/>
      <c r="G97" s="5"/>
      <c r="H97" s="5"/>
      <c r="I97" s="5"/>
      <c r="J97" s="5"/>
      <c r="K97" s="4"/>
    </row>
    <row r="98" spans="1:11">
      <c r="A98" s="4"/>
      <c r="B98" s="5"/>
      <c r="C98" s="5"/>
      <c r="D98" s="5"/>
      <c r="E98" s="4"/>
      <c r="F98" s="4"/>
      <c r="G98" s="5"/>
      <c r="H98" s="5"/>
      <c r="I98" s="5"/>
      <c r="J98" s="5"/>
      <c r="K98" s="4"/>
    </row>
    <row r="99" spans="1:11">
      <c r="A99" s="4"/>
      <c r="B99" s="5"/>
      <c r="C99" s="5"/>
      <c r="D99" s="5"/>
      <c r="E99" s="4"/>
      <c r="F99" s="4"/>
      <c r="G99" s="5"/>
      <c r="H99" s="5"/>
      <c r="I99" s="5"/>
      <c r="J99" s="5"/>
      <c r="K99" s="4"/>
    </row>
    <row r="100" spans="1:11">
      <c r="A100" s="4"/>
      <c r="B100" s="5"/>
      <c r="C100" s="5"/>
      <c r="D100" s="5"/>
      <c r="E100" s="4"/>
      <c r="F100" s="4"/>
      <c r="G100" s="5"/>
      <c r="H100" s="5"/>
      <c r="I100" s="5"/>
      <c r="J100" s="5"/>
      <c r="K100" s="4"/>
    </row>
    <row r="101" spans="1:11">
      <c r="A101" s="4"/>
      <c r="B101" s="5"/>
      <c r="C101" s="5"/>
      <c r="D101" s="5"/>
      <c r="E101" s="4"/>
      <c r="F101" s="4"/>
      <c r="G101" s="5"/>
      <c r="H101" s="5"/>
      <c r="I101" s="5"/>
      <c r="J101" s="5"/>
      <c r="K101" s="4"/>
    </row>
    <row r="102" spans="1:11">
      <c r="A102" s="4"/>
      <c r="B102" s="5"/>
      <c r="C102" s="5"/>
      <c r="D102" s="5"/>
      <c r="E102" s="4"/>
      <c r="F102" s="4"/>
      <c r="G102" s="5"/>
      <c r="H102" s="5"/>
      <c r="I102" s="5"/>
      <c r="J102" s="5"/>
      <c r="K102" s="4"/>
    </row>
    <row r="103" spans="1:11">
      <c r="A103" s="4"/>
      <c r="B103" s="5"/>
      <c r="C103" s="5"/>
      <c r="D103" s="5"/>
      <c r="E103" s="4"/>
      <c r="F103" s="4"/>
      <c r="G103" s="5"/>
      <c r="H103" s="5"/>
      <c r="I103" s="5"/>
      <c r="J103" s="5"/>
      <c r="K103" s="4"/>
    </row>
    <row r="104" spans="1:11">
      <c r="A104" s="4"/>
      <c r="B104" s="5"/>
      <c r="C104" s="5"/>
      <c r="D104" s="5"/>
      <c r="E104" s="4"/>
      <c r="F104" s="4"/>
      <c r="G104" s="5"/>
      <c r="H104" s="5"/>
      <c r="I104" s="5"/>
      <c r="J104" s="5"/>
      <c r="K104" s="4"/>
    </row>
    <row r="105" spans="1:11">
      <c r="A105" s="4"/>
      <c r="B105" s="5"/>
      <c r="C105" s="5"/>
      <c r="D105" s="5"/>
      <c r="E105" s="4"/>
      <c r="F105" s="4"/>
      <c r="G105" s="5"/>
      <c r="H105" s="5"/>
      <c r="I105" s="5"/>
      <c r="J105" s="5"/>
      <c r="K105" s="4"/>
    </row>
    <row r="106" spans="1:11">
      <c r="A106" s="4"/>
      <c r="B106" s="5"/>
      <c r="C106" s="5"/>
      <c r="D106" s="5"/>
      <c r="E106" s="4"/>
      <c r="F106" s="4"/>
      <c r="G106" s="5"/>
      <c r="H106" s="5"/>
      <c r="I106" s="5"/>
      <c r="J106" s="5"/>
      <c r="K106" s="4"/>
    </row>
    <row r="107" spans="1:11">
      <c r="A107" s="4"/>
      <c r="B107" s="5"/>
      <c r="C107" s="5"/>
      <c r="D107" s="5"/>
      <c r="E107" s="4"/>
      <c r="F107" s="4"/>
      <c r="G107" s="5"/>
      <c r="H107" s="5"/>
      <c r="I107" s="5"/>
      <c r="J107" s="5"/>
      <c r="K107" s="4"/>
    </row>
    <row r="108" spans="1:11">
      <c r="A108" s="4"/>
      <c r="B108" s="5"/>
      <c r="C108" s="5"/>
      <c r="D108" s="5"/>
      <c r="E108" s="4"/>
      <c r="F108" s="4"/>
      <c r="G108" s="5"/>
      <c r="H108" s="5"/>
      <c r="I108" s="5"/>
      <c r="J108" s="5"/>
      <c r="K108" s="4"/>
    </row>
    <row r="109" spans="1:11">
      <c r="A109" s="4"/>
      <c r="B109" s="5"/>
      <c r="C109" s="5"/>
      <c r="D109" s="5"/>
      <c r="E109" s="4"/>
      <c r="F109" s="4"/>
      <c r="G109" s="5"/>
      <c r="H109" s="5"/>
      <c r="I109" s="5"/>
      <c r="J109" s="5"/>
      <c r="K109" s="4"/>
    </row>
    <row r="110" spans="1:11">
      <c r="A110" s="4"/>
      <c r="B110" s="5"/>
      <c r="C110" s="5"/>
      <c r="D110" s="5"/>
      <c r="E110" s="4"/>
      <c r="F110" s="4"/>
      <c r="G110" s="5"/>
      <c r="H110" s="5"/>
      <c r="I110" s="5"/>
      <c r="J110" s="5"/>
      <c r="K110" s="4"/>
    </row>
    <row r="111" spans="1:11">
      <c r="A111" s="4"/>
      <c r="B111" s="5"/>
      <c r="C111" s="5"/>
      <c r="D111" s="5"/>
      <c r="E111" s="4"/>
      <c r="F111" s="4"/>
      <c r="G111" s="5"/>
      <c r="H111" s="5"/>
      <c r="I111" s="5"/>
      <c r="J111" s="5"/>
      <c r="K111" s="4"/>
    </row>
    <row r="112" spans="1:11">
      <c r="A112" s="4"/>
      <c r="B112" s="5"/>
      <c r="C112" s="5"/>
      <c r="D112" s="5"/>
      <c r="E112" s="4"/>
      <c r="F112" s="4"/>
      <c r="G112" s="5"/>
      <c r="H112" s="5"/>
      <c r="I112" s="5"/>
      <c r="J112" s="5"/>
      <c r="K112" s="4"/>
    </row>
    <row r="113" spans="1:11">
      <c r="A113" s="4"/>
      <c r="B113" s="5"/>
      <c r="C113" s="5"/>
      <c r="D113" s="5"/>
      <c r="E113" s="4"/>
      <c r="F113" s="4"/>
      <c r="G113" s="5"/>
      <c r="H113" s="5"/>
      <c r="I113" s="5"/>
      <c r="J113" s="5"/>
      <c r="K113" s="4"/>
    </row>
    <row r="114" spans="1:11">
      <c r="A114" s="4"/>
      <c r="B114" s="5"/>
      <c r="C114" s="5"/>
      <c r="D114" s="5"/>
      <c r="E114" s="4"/>
      <c r="F114" s="4"/>
      <c r="G114" s="5"/>
      <c r="H114" s="5"/>
      <c r="I114" s="5"/>
      <c r="J114" s="5"/>
      <c r="K114" s="4"/>
    </row>
    <row r="115" spans="1:11">
      <c r="A115" s="4"/>
      <c r="B115" s="5"/>
      <c r="C115" s="5"/>
      <c r="D115" s="5"/>
      <c r="E115" s="4"/>
      <c r="F115" s="4"/>
      <c r="G115" s="5"/>
      <c r="H115" s="5"/>
      <c r="I115" s="5"/>
      <c r="J115" s="5"/>
      <c r="K115" s="4"/>
    </row>
    <row r="116" spans="1:11">
      <c r="A116" s="4"/>
      <c r="B116" s="5"/>
      <c r="C116" s="5"/>
      <c r="D116" s="5"/>
      <c r="E116" s="4"/>
      <c r="F116" s="4"/>
      <c r="G116" s="5"/>
      <c r="H116" s="5"/>
      <c r="I116" s="5"/>
      <c r="J116" s="5"/>
      <c r="K116" s="4"/>
    </row>
    <row r="117" spans="1:11">
      <c r="A117" s="4"/>
      <c r="B117" s="5"/>
      <c r="C117" s="5"/>
      <c r="D117" s="5"/>
      <c r="E117" s="4"/>
      <c r="F117" s="4"/>
      <c r="G117" s="5"/>
      <c r="H117" s="5"/>
      <c r="I117" s="5"/>
      <c r="J117" s="5"/>
      <c r="K117" s="4"/>
    </row>
    <row r="118" spans="1:11">
      <c r="A118" s="4"/>
      <c r="B118" s="5"/>
      <c r="C118" s="5"/>
      <c r="D118" s="5"/>
      <c r="E118" s="4"/>
      <c r="F118" s="4"/>
      <c r="G118" s="5"/>
      <c r="H118" s="5"/>
      <c r="I118" s="5"/>
      <c r="J118" s="5"/>
      <c r="K118" s="4"/>
    </row>
    <row r="119" spans="1:11">
      <c r="A119" s="4"/>
      <c r="B119" s="5"/>
      <c r="C119" s="5"/>
      <c r="D119" s="5"/>
      <c r="E119" s="4"/>
      <c r="F119" s="4"/>
      <c r="G119" s="5"/>
      <c r="H119" s="5"/>
      <c r="I119" s="5"/>
      <c r="J119" s="5"/>
      <c r="K119" s="4"/>
    </row>
    <row r="120" spans="1:11">
      <c r="A120" s="4"/>
      <c r="B120" s="5"/>
      <c r="C120" s="5"/>
      <c r="D120" s="5"/>
      <c r="E120" s="4"/>
      <c r="F120" s="4"/>
      <c r="G120" s="5"/>
      <c r="H120" s="5"/>
      <c r="I120" s="5"/>
      <c r="J120" s="5"/>
      <c r="K120" s="4"/>
    </row>
    <row r="121" spans="1:11">
      <c r="A121" s="4"/>
      <c r="B121" s="5"/>
      <c r="C121" s="5"/>
      <c r="D121" s="5"/>
      <c r="E121" s="4"/>
      <c r="F121" s="4"/>
      <c r="G121" s="5"/>
      <c r="H121" s="5"/>
      <c r="I121" s="5"/>
      <c r="J121" s="5"/>
      <c r="K121" s="4"/>
    </row>
    <row r="122" spans="1:11">
      <c r="A122" s="4"/>
      <c r="B122" s="5"/>
      <c r="C122" s="5"/>
      <c r="D122" s="5"/>
      <c r="E122" s="4"/>
      <c r="F122" s="4"/>
      <c r="G122" s="5"/>
      <c r="H122" s="5"/>
      <c r="I122" s="5"/>
      <c r="J122" s="5"/>
      <c r="K122" s="4"/>
    </row>
    <row r="123" spans="1:11">
      <c r="A123" s="4"/>
      <c r="B123" s="5"/>
      <c r="C123" s="5"/>
      <c r="D123" s="5"/>
      <c r="E123" s="4"/>
      <c r="F123" s="4"/>
      <c r="G123" s="5"/>
      <c r="H123" s="5"/>
      <c r="I123" s="5"/>
      <c r="J123" s="5"/>
      <c r="K123" s="4"/>
    </row>
  </sheetData>
  <mergeCells count="13">
    <mergeCell ref="J3:J4"/>
    <mergeCell ref="K3:K4"/>
    <mergeCell ref="A5:J5"/>
    <mergeCell ref="A8:J8"/>
    <mergeCell ref="A1:K2"/>
    <mergeCell ref="A3:A4"/>
    <mergeCell ref="B3:B4"/>
    <mergeCell ref="C3:C4"/>
    <mergeCell ref="D3:D4"/>
    <mergeCell ref="E3:E4"/>
    <mergeCell ref="F3:F4"/>
    <mergeCell ref="G3:H3"/>
    <mergeCell ref="I3:I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7"/>
  <sheetViews>
    <sheetView topLeftCell="A17" workbookViewId="0">
      <selection activeCell="E26" sqref="E26:F30"/>
    </sheetView>
  </sheetViews>
  <sheetFormatPr defaultRowHeight="12.75"/>
  <cols>
    <col min="1" max="1" width="23.7109375" customWidth="1"/>
    <col min="2" max="2" width="26.140625" customWidth="1"/>
    <col min="5" max="5" width="16.140625" customWidth="1"/>
    <col min="6" max="6" width="15.28515625" bestFit="1" customWidth="1"/>
  </cols>
  <sheetData>
    <row r="1" spans="1:11">
      <c r="A1" s="54" t="s">
        <v>1126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 ht="80.25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1" ht="15">
      <c r="A3" s="60" t="s">
        <v>0</v>
      </c>
      <c r="B3" s="62" t="s">
        <v>10</v>
      </c>
      <c r="C3" s="62" t="s">
        <v>8</v>
      </c>
      <c r="D3" s="48" t="s">
        <v>1025</v>
      </c>
      <c r="E3" s="48" t="s">
        <v>1</v>
      </c>
      <c r="F3" s="63" t="s">
        <v>12</v>
      </c>
      <c r="G3" s="60" t="s">
        <v>1112</v>
      </c>
      <c r="H3" s="48"/>
      <c r="I3" s="46" t="s">
        <v>108</v>
      </c>
      <c r="J3" s="48" t="s">
        <v>6</v>
      </c>
      <c r="K3" s="50" t="s">
        <v>5</v>
      </c>
    </row>
    <row r="4" spans="1:11" ht="15.75" thickBot="1">
      <c r="A4" s="61"/>
      <c r="B4" s="49"/>
      <c r="C4" s="49"/>
      <c r="D4" s="49"/>
      <c r="E4" s="49"/>
      <c r="F4" s="64"/>
      <c r="G4" s="33" t="s">
        <v>1113</v>
      </c>
      <c r="H4" s="34" t="s">
        <v>1114</v>
      </c>
      <c r="I4" s="47"/>
      <c r="J4" s="49"/>
      <c r="K4" s="51"/>
    </row>
    <row r="5" spans="1:11" ht="15">
      <c r="A5" s="52" t="s">
        <v>137</v>
      </c>
      <c r="B5" s="53"/>
      <c r="C5" s="53"/>
      <c r="D5" s="53"/>
      <c r="E5" s="53"/>
      <c r="F5" s="53"/>
      <c r="G5" s="53"/>
      <c r="H5" s="53"/>
      <c r="I5" s="53"/>
      <c r="J5" s="53"/>
      <c r="K5" s="4"/>
    </row>
    <row r="6" spans="1:11">
      <c r="A6" s="19" t="s">
        <v>560</v>
      </c>
      <c r="B6" s="16" t="s">
        <v>561</v>
      </c>
      <c r="C6" s="16" t="s">
        <v>562</v>
      </c>
      <c r="D6" s="16" t="str">
        <f>"0,9463"</f>
        <v>0,9463</v>
      </c>
      <c r="E6" s="19" t="s">
        <v>18</v>
      </c>
      <c r="F6" s="19" t="s">
        <v>29</v>
      </c>
      <c r="G6" s="16" t="s">
        <v>811</v>
      </c>
      <c r="H6" s="35" t="s">
        <v>1127</v>
      </c>
      <c r="I6" s="19" t="str">
        <f>"1365,0"</f>
        <v>1365,0</v>
      </c>
      <c r="J6" s="16" t="str">
        <f>"1291,6313"</f>
        <v>1291,6313</v>
      </c>
      <c r="K6" s="19"/>
    </row>
    <row r="7" spans="1:11">
      <c r="A7" s="4"/>
      <c r="B7" s="5"/>
      <c r="C7" s="5"/>
      <c r="D7" s="5"/>
      <c r="E7" s="4"/>
      <c r="F7" s="4"/>
      <c r="G7" s="5"/>
      <c r="H7" s="36"/>
      <c r="I7" s="4"/>
      <c r="J7" s="5"/>
      <c r="K7" s="4"/>
    </row>
    <row r="8" spans="1:11" ht="15">
      <c r="A8" s="45" t="s">
        <v>155</v>
      </c>
      <c r="B8" s="45"/>
      <c r="C8" s="45"/>
      <c r="D8" s="45"/>
      <c r="E8" s="45"/>
      <c r="F8" s="45"/>
      <c r="G8" s="45"/>
      <c r="H8" s="45"/>
      <c r="I8" s="45"/>
      <c r="J8" s="45"/>
      <c r="K8" s="4"/>
    </row>
    <row r="9" spans="1:11">
      <c r="A9" s="9" t="s">
        <v>1128</v>
      </c>
      <c r="B9" s="10" t="s">
        <v>605</v>
      </c>
      <c r="C9" s="10" t="s">
        <v>606</v>
      </c>
      <c r="D9" s="10" t="str">
        <f>"0,7095"</f>
        <v>0,7095</v>
      </c>
      <c r="E9" s="9" t="s">
        <v>28</v>
      </c>
      <c r="F9" s="9" t="s">
        <v>29</v>
      </c>
      <c r="G9" s="10" t="s">
        <v>1129</v>
      </c>
      <c r="H9" s="37" t="s">
        <v>1130</v>
      </c>
      <c r="I9" s="9" t="str">
        <f>"1305,0"</f>
        <v>1305,0</v>
      </c>
      <c r="J9" s="10" t="str">
        <f>"925,8323"</f>
        <v>925,8323</v>
      </c>
      <c r="K9" s="9"/>
    </row>
    <row r="10" spans="1:11">
      <c r="A10" s="17" t="s">
        <v>1131</v>
      </c>
      <c r="B10" s="15" t="s">
        <v>1132</v>
      </c>
      <c r="C10" s="15" t="s">
        <v>1133</v>
      </c>
      <c r="D10" s="15" t="str">
        <f>"0,7102"</f>
        <v>0,7102</v>
      </c>
      <c r="E10" s="17" t="s">
        <v>28</v>
      </c>
      <c r="F10" s="17" t="s">
        <v>29</v>
      </c>
      <c r="G10" s="15" t="s">
        <v>1129</v>
      </c>
      <c r="H10" s="38" t="s">
        <v>1116</v>
      </c>
      <c r="I10" s="17" t="str">
        <f>"2827,5"</f>
        <v>2827,5</v>
      </c>
      <c r="J10" s="15" t="str">
        <f>"2008,0905"</f>
        <v>2008,0905</v>
      </c>
      <c r="K10" s="17"/>
    </row>
    <row r="11" spans="1:11">
      <c r="A11" s="12" t="s">
        <v>1134</v>
      </c>
      <c r="B11" s="13" t="s">
        <v>1135</v>
      </c>
      <c r="C11" s="13" t="s">
        <v>1136</v>
      </c>
      <c r="D11" s="13" t="str">
        <f>"0,6955"</f>
        <v>0,6955</v>
      </c>
      <c r="E11" s="12" t="s">
        <v>28</v>
      </c>
      <c r="F11" s="12" t="s">
        <v>29</v>
      </c>
      <c r="G11" s="13" t="s">
        <v>320</v>
      </c>
      <c r="H11" s="39" t="s">
        <v>1137</v>
      </c>
      <c r="I11" s="12" t="str">
        <f>"2325,0"</f>
        <v>2325,0</v>
      </c>
      <c r="J11" s="13" t="str">
        <f>"1667,0458"</f>
        <v>1667,0458</v>
      </c>
      <c r="K11" s="12"/>
    </row>
    <row r="12" spans="1:11">
      <c r="A12" s="4"/>
      <c r="B12" s="5"/>
      <c r="C12" s="5"/>
      <c r="D12" s="5"/>
      <c r="E12" s="4"/>
      <c r="F12" s="4"/>
      <c r="G12" s="5"/>
      <c r="H12" s="36"/>
      <c r="I12" s="4"/>
      <c r="J12" s="5"/>
      <c r="K12" s="4"/>
    </row>
    <row r="13" spans="1:11" ht="15">
      <c r="A13" s="45" t="s">
        <v>13</v>
      </c>
      <c r="B13" s="45"/>
      <c r="C13" s="45"/>
      <c r="D13" s="45"/>
      <c r="E13" s="45"/>
      <c r="F13" s="45"/>
      <c r="G13" s="45"/>
      <c r="H13" s="45"/>
      <c r="I13" s="45"/>
      <c r="J13" s="45"/>
      <c r="K13" s="4"/>
    </row>
    <row r="14" spans="1:11">
      <c r="A14" s="9" t="s">
        <v>1138</v>
      </c>
      <c r="B14" s="10" t="s">
        <v>637</v>
      </c>
      <c r="C14" s="10" t="s">
        <v>638</v>
      </c>
      <c r="D14" s="10" t="str">
        <f>"0,6700"</f>
        <v>0,6700</v>
      </c>
      <c r="E14" s="9" t="s">
        <v>28</v>
      </c>
      <c r="F14" s="9" t="s">
        <v>37</v>
      </c>
      <c r="G14" s="10" t="s">
        <v>257</v>
      </c>
      <c r="H14" s="37" t="s">
        <v>1139</v>
      </c>
      <c r="I14" s="9" t="str">
        <f>"2640,0"</f>
        <v>2640,0</v>
      </c>
      <c r="J14" s="10" t="str">
        <f>"1768,6680"</f>
        <v>1768,6680</v>
      </c>
      <c r="K14" s="9"/>
    </row>
    <row r="15" spans="1:11">
      <c r="A15" s="12" t="s">
        <v>934</v>
      </c>
      <c r="B15" s="13" t="s">
        <v>1140</v>
      </c>
      <c r="C15" s="13" t="s">
        <v>677</v>
      </c>
      <c r="D15" s="13" t="str">
        <f>"0,6578"</f>
        <v>0,6578</v>
      </c>
      <c r="E15" s="12" t="s">
        <v>28</v>
      </c>
      <c r="F15" s="12" t="s">
        <v>167</v>
      </c>
      <c r="G15" s="13" t="s">
        <v>257</v>
      </c>
      <c r="H15" s="39" t="s">
        <v>1141</v>
      </c>
      <c r="I15" s="12" t="str">
        <f>"1600,0"</f>
        <v>1600,0</v>
      </c>
      <c r="J15" s="13" t="str">
        <f>"1097,7367"</f>
        <v>1097,7367</v>
      </c>
      <c r="K15" s="12"/>
    </row>
    <row r="16" spans="1:11">
      <c r="A16" s="4"/>
      <c r="B16" s="5"/>
      <c r="C16" s="5"/>
      <c r="D16" s="5"/>
      <c r="E16" s="4"/>
      <c r="F16" s="4"/>
      <c r="G16" s="5"/>
      <c r="H16" s="36"/>
      <c r="I16" s="4"/>
      <c r="J16" s="5"/>
      <c r="K16" s="4"/>
    </row>
    <row r="17" spans="1:11" ht="15">
      <c r="A17" s="45" t="s">
        <v>52</v>
      </c>
      <c r="B17" s="45"/>
      <c r="C17" s="45"/>
      <c r="D17" s="45"/>
      <c r="E17" s="45"/>
      <c r="F17" s="45"/>
      <c r="G17" s="45"/>
      <c r="H17" s="45"/>
      <c r="I17" s="45"/>
      <c r="J17" s="45"/>
      <c r="K17" s="4"/>
    </row>
    <row r="18" spans="1:11">
      <c r="A18" s="9" t="s">
        <v>1142</v>
      </c>
      <c r="B18" s="10" t="s">
        <v>1143</v>
      </c>
      <c r="C18" s="10" t="s">
        <v>1144</v>
      </c>
      <c r="D18" s="10" t="str">
        <f>"0,6075"</f>
        <v>0,6075</v>
      </c>
      <c r="E18" s="9" t="s">
        <v>28</v>
      </c>
      <c r="F18" s="9" t="s">
        <v>29</v>
      </c>
      <c r="G18" s="10" t="s">
        <v>136</v>
      </c>
      <c r="H18" s="37" t="s">
        <v>1137</v>
      </c>
      <c r="I18" s="9" t="str">
        <f>"2867,5"</f>
        <v>2867,5</v>
      </c>
      <c r="J18" s="10" t="str">
        <f>"1742,0063"</f>
        <v>1742,0063</v>
      </c>
      <c r="K18" s="9"/>
    </row>
    <row r="19" spans="1:11">
      <c r="A19" s="17" t="s">
        <v>430</v>
      </c>
      <c r="B19" s="15" t="s">
        <v>431</v>
      </c>
      <c r="C19" s="15" t="s">
        <v>432</v>
      </c>
      <c r="D19" s="15" t="str">
        <f>"0,5828"</f>
        <v>0,5828</v>
      </c>
      <c r="E19" s="17" t="s">
        <v>28</v>
      </c>
      <c r="F19" s="17" t="s">
        <v>29</v>
      </c>
      <c r="G19" s="15" t="s">
        <v>258</v>
      </c>
      <c r="H19" s="38" t="s">
        <v>1145</v>
      </c>
      <c r="I19" s="17" t="str">
        <f>"1400,0"</f>
        <v>1400,0</v>
      </c>
      <c r="J19" s="15" t="str">
        <f>"815,9200"</f>
        <v>815,9200</v>
      </c>
      <c r="K19" s="17"/>
    </row>
    <row r="20" spans="1:11">
      <c r="A20" s="17" t="s">
        <v>747</v>
      </c>
      <c r="B20" s="15" t="s">
        <v>1146</v>
      </c>
      <c r="C20" s="15" t="s">
        <v>749</v>
      </c>
      <c r="D20" s="15" t="str">
        <f>"0,5861"</f>
        <v>0,5861</v>
      </c>
      <c r="E20" s="17" t="s">
        <v>28</v>
      </c>
      <c r="F20" s="17" t="s">
        <v>167</v>
      </c>
      <c r="G20" s="15" t="s">
        <v>258</v>
      </c>
      <c r="H20" s="38" t="s">
        <v>1147</v>
      </c>
      <c r="I20" s="17" t="str">
        <f>"2700,0"</f>
        <v>2700,0</v>
      </c>
      <c r="J20" s="15" t="str">
        <f>"1598,4310"</f>
        <v>1598,4310</v>
      </c>
      <c r="K20" s="17"/>
    </row>
    <row r="21" spans="1:11">
      <c r="A21" s="12" t="s">
        <v>1148</v>
      </c>
      <c r="B21" s="13" t="s">
        <v>1149</v>
      </c>
      <c r="C21" s="13" t="s">
        <v>764</v>
      </c>
      <c r="D21" s="13" t="str">
        <f>"0,5946"</f>
        <v>0,5946</v>
      </c>
      <c r="E21" s="12" t="s">
        <v>28</v>
      </c>
      <c r="F21" s="12" t="s">
        <v>29</v>
      </c>
      <c r="G21" s="14" t="s">
        <v>683</v>
      </c>
      <c r="H21" s="39" t="s">
        <v>1150</v>
      </c>
      <c r="I21" s="12" t="str">
        <f>"0.00"</f>
        <v>0.00</v>
      </c>
      <c r="J21" s="13" t="str">
        <f>"0,0000"</f>
        <v>0,0000</v>
      </c>
      <c r="K21" s="12"/>
    </row>
    <row r="22" spans="1:11">
      <c r="A22" s="4"/>
      <c r="B22" s="5"/>
      <c r="C22" s="5"/>
      <c r="D22" s="5"/>
      <c r="E22" s="4"/>
      <c r="F22" s="4"/>
      <c r="G22" s="5"/>
      <c r="H22" s="36"/>
      <c r="I22" s="4"/>
      <c r="J22" s="5"/>
      <c r="K22" s="4"/>
    </row>
    <row r="23" spans="1:11" ht="15">
      <c r="A23" s="45" t="s">
        <v>66</v>
      </c>
      <c r="B23" s="45"/>
      <c r="C23" s="45"/>
      <c r="D23" s="45"/>
      <c r="E23" s="45"/>
      <c r="F23" s="45"/>
      <c r="G23" s="45"/>
      <c r="H23" s="45"/>
      <c r="I23" s="45"/>
      <c r="J23" s="45"/>
      <c r="K23" s="4"/>
    </row>
    <row r="24" spans="1:11">
      <c r="A24" s="19" t="s">
        <v>1151</v>
      </c>
      <c r="B24" s="16" t="s">
        <v>772</v>
      </c>
      <c r="C24" s="16" t="s">
        <v>773</v>
      </c>
      <c r="D24" s="16" t="str">
        <f>"0,5658"</f>
        <v>0,5658</v>
      </c>
      <c r="E24" s="19" t="s">
        <v>18</v>
      </c>
      <c r="F24" s="19" t="s">
        <v>29</v>
      </c>
      <c r="G24" s="20" t="s">
        <v>220</v>
      </c>
      <c r="H24" s="40"/>
      <c r="I24" s="19" t="str">
        <f>"0.00"</f>
        <v>0.00</v>
      </c>
      <c r="J24" s="16" t="str">
        <f>"0,0000"</f>
        <v>0,0000</v>
      </c>
      <c r="K24" s="19"/>
    </row>
    <row r="25" spans="1:11">
      <c r="A25" s="4"/>
      <c r="B25" s="5"/>
      <c r="C25" s="5"/>
      <c r="D25" s="5"/>
      <c r="E25" s="4"/>
      <c r="F25" s="4"/>
      <c r="G25" s="5"/>
      <c r="H25" s="36"/>
      <c r="I25" s="4"/>
      <c r="J25" s="5"/>
      <c r="K25" s="4"/>
    </row>
    <row r="26" spans="1:11">
      <c r="A26" s="4"/>
      <c r="B26" s="5"/>
      <c r="C26" s="5"/>
      <c r="D26" s="5"/>
      <c r="E26" s="31" t="s">
        <v>1095</v>
      </c>
      <c r="F26" s="4"/>
      <c r="G26" s="5"/>
      <c r="H26" s="36"/>
      <c r="I26" s="4"/>
      <c r="J26" s="5"/>
      <c r="K26" s="4"/>
    </row>
    <row r="27" spans="1:11">
      <c r="A27" s="4"/>
      <c r="B27" s="5"/>
      <c r="C27" s="5"/>
      <c r="D27" s="5"/>
      <c r="E27" s="31" t="s">
        <v>1240</v>
      </c>
      <c r="F27" s="4"/>
      <c r="G27" s="5"/>
      <c r="H27" s="36"/>
      <c r="I27" s="4"/>
      <c r="J27" s="5"/>
      <c r="K27" s="4"/>
    </row>
    <row r="28" spans="1:11">
      <c r="A28" s="4"/>
      <c r="B28" s="5"/>
      <c r="C28" s="5"/>
      <c r="D28" s="5"/>
      <c r="E28" s="31" t="s">
        <v>1096</v>
      </c>
      <c r="F28" s="4"/>
      <c r="G28" s="5"/>
      <c r="H28" s="36"/>
      <c r="I28" s="4"/>
      <c r="J28" s="5"/>
      <c r="K28" s="4"/>
    </row>
    <row r="29" spans="1:11">
      <c r="A29" s="4"/>
      <c r="B29" s="5"/>
      <c r="C29" s="5"/>
      <c r="D29" s="5"/>
      <c r="E29" s="31" t="s">
        <v>1241</v>
      </c>
      <c r="F29" s="4"/>
      <c r="G29" s="5"/>
      <c r="H29" s="36"/>
      <c r="I29" s="4"/>
      <c r="J29" s="5"/>
      <c r="K29" s="4"/>
    </row>
    <row r="30" spans="1:11">
      <c r="A30" s="4"/>
      <c r="B30" s="5"/>
      <c r="C30" s="5"/>
      <c r="D30" s="5"/>
      <c r="E30" s="31" t="s">
        <v>1097</v>
      </c>
      <c r="F30" s="4"/>
      <c r="G30" s="5"/>
      <c r="H30" s="36"/>
      <c r="I30" s="4"/>
      <c r="J30" s="5"/>
      <c r="K30" s="4"/>
    </row>
    <row r="31" spans="1:11">
      <c r="A31" s="4"/>
      <c r="B31" s="5"/>
      <c r="C31" s="5"/>
      <c r="D31" s="5"/>
      <c r="E31" s="4"/>
      <c r="F31" s="4"/>
      <c r="G31" s="5"/>
      <c r="H31" s="36"/>
      <c r="I31" s="4"/>
      <c r="J31" s="5"/>
      <c r="K31" s="4"/>
    </row>
    <row r="32" spans="1:11">
      <c r="A32" s="4"/>
      <c r="B32" s="5"/>
      <c r="C32" s="5"/>
      <c r="D32" s="5"/>
      <c r="E32" s="4"/>
      <c r="F32" s="4"/>
      <c r="G32" s="5"/>
      <c r="H32" s="36"/>
      <c r="I32" s="4"/>
      <c r="J32" s="5"/>
      <c r="K32" s="4"/>
    </row>
    <row r="33" spans="1:11">
      <c r="A33" s="4"/>
      <c r="B33" s="5"/>
      <c r="C33" s="5"/>
      <c r="D33" s="5"/>
      <c r="E33" s="4"/>
      <c r="F33" s="4"/>
      <c r="G33" s="5"/>
      <c r="H33" s="36"/>
      <c r="I33" s="4"/>
      <c r="J33" s="5"/>
      <c r="K33" s="4"/>
    </row>
    <row r="34" spans="1:11" ht="18">
      <c r="A34" s="21" t="s">
        <v>81</v>
      </c>
      <c r="B34" s="22"/>
      <c r="C34" s="5"/>
      <c r="D34" s="5"/>
      <c r="E34" s="4"/>
      <c r="F34" s="4"/>
      <c r="G34" s="5"/>
      <c r="H34" s="36"/>
      <c r="I34" s="4"/>
      <c r="J34" s="5"/>
      <c r="K34" s="4"/>
    </row>
    <row r="35" spans="1:11" ht="15">
      <c r="A35" s="23" t="s">
        <v>229</v>
      </c>
      <c r="B35" s="32"/>
      <c r="C35" s="5"/>
      <c r="D35" s="5"/>
      <c r="E35" s="4"/>
      <c r="F35" s="4"/>
      <c r="G35" s="5"/>
      <c r="H35" s="36"/>
      <c r="I35" s="4"/>
      <c r="J35" s="5"/>
      <c r="K35" s="4"/>
    </row>
    <row r="36" spans="1:11" ht="14.25">
      <c r="A36" s="26"/>
      <c r="B36" s="27" t="s">
        <v>83</v>
      </c>
      <c r="C36" s="5"/>
      <c r="D36" s="5"/>
      <c r="E36" s="4"/>
      <c r="F36" s="4"/>
      <c r="G36" s="5"/>
      <c r="H36" s="36"/>
      <c r="I36" s="4"/>
      <c r="J36" s="5"/>
      <c r="K36" s="4"/>
    </row>
    <row r="37" spans="1:11" ht="15">
      <c r="A37" s="28" t="s">
        <v>0</v>
      </c>
      <c r="B37" s="28" t="s">
        <v>84</v>
      </c>
      <c r="C37" s="28" t="s">
        <v>85</v>
      </c>
      <c r="D37" s="28" t="s">
        <v>86</v>
      </c>
      <c r="E37" s="28" t="s">
        <v>1025</v>
      </c>
      <c r="F37" s="4"/>
      <c r="G37" s="5"/>
      <c r="H37" s="36"/>
      <c r="I37" s="4"/>
      <c r="J37" s="5"/>
      <c r="K37" s="4"/>
    </row>
    <row r="38" spans="1:11">
      <c r="A38" s="25" t="s">
        <v>559</v>
      </c>
      <c r="B38" s="5" t="s">
        <v>83</v>
      </c>
      <c r="C38" s="5" t="s">
        <v>234</v>
      </c>
      <c r="D38" s="5" t="s">
        <v>1152</v>
      </c>
      <c r="E38" s="29" t="s">
        <v>1153</v>
      </c>
      <c r="F38" s="4"/>
      <c r="G38" s="5"/>
      <c r="H38" s="36"/>
      <c r="I38" s="4"/>
      <c r="J38" s="5"/>
      <c r="K38" s="4"/>
    </row>
    <row r="39" spans="1:11">
      <c r="A39" s="4"/>
      <c r="B39" s="5"/>
      <c r="C39" s="5"/>
      <c r="D39" s="5"/>
      <c r="E39" s="4"/>
      <c r="F39" s="4"/>
      <c r="G39" s="5"/>
      <c r="H39" s="36"/>
      <c r="I39" s="4"/>
      <c r="J39" s="5"/>
      <c r="K39" s="4"/>
    </row>
    <row r="40" spans="1:11">
      <c r="A40" s="4"/>
      <c r="B40" s="5"/>
      <c r="C40" s="5"/>
      <c r="D40" s="5"/>
      <c r="E40" s="4"/>
      <c r="F40" s="4"/>
      <c r="G40" s="5"/>
      <c r="H40" s="36"/>
      <c r="I40" s="4"/>
      <c r="J40" s="5"/>
      <c r="K40" s="4"/>
    </row>
    <row r="41" spans="1:11" ht="15">
      <c r="A41" s="23" t="s">
        <v>82</v>
      </c>
      <c r="B41" s="32"/>
      <c r="C41" s="5"/>
      <c r="D41" s="5"/>
      <c r="E41" s="4"/>
      <c r="F41" s="4"/>
      <c r="G41" s="5"/>
      <c r="H41" s="36"/>
      <c r="I41" s="4"/>
      <c r="J41" s="5"/>
      <c r="K41" s="4"/>
    </row>
    <row r="42" spans="1:11" ht="14.25">
      <c r="A42" s="26"/>
      <c r="B42" s="27" t="s">
        <v>471</v>
      </c>
      <c r="C42" s="5"/>
      <c r="D42" s="5"/>
      <c r="E42" s="4"/>
      <c r="F42" s="4"/>
      <c r="G42" s="5"/>
      <c r="H42" s="36"/>
      <c r="I42" s="4"/>
      <c r="J42" s="5"/>
      <c r="K42" s="4"/>
    </row>
    <row r="43" spans="1:11" ht="15">
      <c r="A43" s="28" t="s">
        <v>0</v>
      </c>
      <c r="B43" s="28" t="s">
        <v>84</v>
      </c>
      <c r="C43" s="28" t="s">
        <v>85</v>
      </c>
      <c r="D43" s="28" t="s">
        <v>86</v>
      </c>
      <c r="E43" s="28" t="s">
        <v>1025</v>
      </c>
      <c r="F43" s="4"/>
      <c r="G43" s="5"/>
      <c r="H43" s="36"/>
      <c r="I43" s="4"/>
      <c r="J43" s="5"/>
      <c r="K43" s="4"/>
    </row>
    <row r="44" spans="1:11">
      <c r="A44" s="25" t="s">
        <v>603</v>
      </c>
      <c r="B44" s="5" t="s">
        <v>472</v>
      </c>
      <c r="C44" s="5" t="s">
        <v>241</v>
      </c>
      <c r="D44" s="5" t="s">
        <v>1154</v>
      </c>
      <c r="E44" s="29" t="s">
        <v>1155</v>
      </c>
      <c r="F44" s="4"/>
      <c r="G44" s="5"/>
      <c r="H44" s="36"/>
      <c r="I44" s="4"/>
      <c r="J44" s="5"/>
      <c r="K44" s="4"/>
    </row>
    <row r="45" spans="1:11">
      <c r="A45" s="4"/>
      <c r="B45" s="5"/>
      <c r="C45" s="5"/>
      <c r="D45" s="5"/>
      <c r="E45" s="4"/>
      <c r="F45" s="4"/>
      <c r="G45" s="5"/>
      <c r="H45" s="36"/>
      <c r="I45" s="4"/>
      <c r="J45" s="5"/>
      <c r="K45" s="4"/>
    </row>
    <row r="46" spans="1:11" ht="14.25">
      <c r="A46" s="26"/>
      <c r="B46" s="27" t="s">
        <v>83</v>
      </c>
      <c r="C46" s="5"/>
      <c r="D46" s="5"/>
      <c r="E46" s="4"/>
      <c r="F46" s="4"/>
      <c r="G46" s="5"/>
      <c r="H46" s="36"/>
      <c r="I46" s="4"/>
      <c r="J46" s="5"/>
      <c r="K46" s="4"/>
    </row>
    <row r="47" spans="1:11" ht="15">
      <c r="A47" s="28" t="s">
        <v>0</v>
      </c>
      <c r="B47" s="28" t="s">
        <v>84</v>
      </c>
      <c r="C47" s="28" t="s">
        <v>85</v>
      </c>
      <c r="D47" s="28" t="s">
        <v>86</v>
      </c>
      <c r="E47" s="28" t="s">
        <v>1025</v>
      </c>
      <c r="F47" s="4"/>
      <c r="G47" s="5"/>
      <c r="H47" s="36"/>
      <c r="I47" s="4"/>
      <c r="J47" s="5"/>
      <c r="K47" s="4"/>
    </row>
    <row r="48" spans="1:11">
      <c r="A48" s="25" t="s">
        <v>1156</v>
      </c>
      <c r="B48" s="5" t="s">
        <v>83</v>
      </c>
      <c r="C48" s="5" t="s">
        <v>241</v>
      </c>
      <c r="D48" s="5" t="s">
        <v>1157</v>
      </c>
      <c r="E48" s="29" t="s">
        <v>1158</v>
      </c>
      <c r="F48" s="4"/>
      <c r="G48" s="5"/>
      <c r="H48" s="36"/>
      <c r="I48" s="4"/>
      <c r="J48" s="5"/>
      <c r="K48" s="4"/>
    </row>
    <row r="49" spans="1:11">
      <c r="A49" s="25" t="s">
        <v>635</v>
      </c>
      <c r="B49" s="5" t="s">
        <v>83</v>
      </c>
      <c r="C49" s="5" t="s">
        <v>87</v>
      </c>
      <c r="D49" s="5" t="s">
        <v>1159</v>
      </c>
      <c r="E49" s="29" t="s">
        <v>1160</v>
      </c>
      <c r="F49" s="4"/>
      <c r="G49" s="5"/>
      <c r="H49" s="36"/>
      <c r="I49" s="4"/>
      <c r="J49" s="5"/>
      <c r="K49" s="4"/>
    </row>
    <row r="50" spans="1:11">
      <c r="A50" s="25" t="s">
        <v>1161</v>
      </c>
      <c r="B50" s="5" t="s">
        <v>83</v>
      </c>
      <c r="C50" s="5" t="s">
        <v>89</v>
      </c>
      <c r="D50" s="5" t="s">
        <v>1162</v>
      </c>
      <c r="E50" s="29" t="s">
        <v>1163</v>
      </c>
      <c r="F50" s="4"/>
      <c r="G50" s="5"/>
      <c r="H50" s="36"/>
      <c r="I50" s="4"/>
      <c r="J50" s="5"/>
      <c r="K50" s="4"/>
    </row>
    <row r="51" spans="1:11">
      <c r="A51" s="25" t="s">
        <v>429</v>
      </c>
      <c r="B51" s="5" t="s">
        <v>83</v>
      </c>
      <c r="C51" s="5" t="s">
        <v>89</v>
      </c>
      <c r="D51" s="5" t="s">
        <v>1164</v>
      </c>
      <c r="E51" s="29" t="s">
        <v>1165</v>
      </c>
      <c r="F51" s="4"/>
      <c r="G51" s="5"/>
      <c r="H51" s="36"/>
      <c r="I51" s="4"/>
      <c r="J51" s="5"/>
      <c r="K51" s="4"/>
    </row>
    <row r="52" spans="1:11">
      <c r="A52" s="4"/>
      <c r="B52" s="5"/>
      <c r="C52" s="5"/>
      <c r="D52" s="5"/>
      <c r="E52" s="4"/>
      <c r="F52" s="4"/>
      <c r="G52" s="5"/>
      <c r="H52" s="36"/>
      <c r="I52" s="4"/>
      <c r="J52" s="5"/>
      <c r="K52" s="4"/>
    </row>
    <row r="53" spans="1:11" ht="14.25">
      <c r="A53" s="26"/>
      <c r="B53" s="27" t="s">
        <v>102</v>
      </c>
      <c r="C53" s="5"/>
      <c r="D53" s="5"/>
      <c r="E53" s="4"/>
      <c r="F53" s="4"/>
      <c r="G53" s="5"/>
      <c r="H53" s="36"/>
      <c r="I53" s="4"/>
      <c r="J53" s="5"/>
      <c r="K53" s="4"/>
    </row>
    <row r="54" spans="1:11" ht="15">
      <c r="A54" s="28" t="s">
        <v>0</v>
      </c>
      <c r="B54" s="28" t="s">
        <v>84</v>
      </c>
      <c r="C54" s="28" t="s">
        <v>85</v>
      </c>
      <c r="D54" s="28" t="s">
        <v>86</v>
      </c>
      <c r="E54" s="28" t="s">
        <v>1025</v>
      </c>
      <c r="F54" s="4"/>
      <c r="G54" s="5"/>
      <c r="H54" s="36"/>
      <c r="I54" s="4"/>
      <c r="J54" s="5"/>
      <c r="K54" s="4"/>
    </row>
    <row r="55" spans="1:11">
      <c r="A55" s="25" t="s">
        <v>1166</v>
      </c>
      <c r="B55" s="5" t="s">
        <v>1167</v>
      </c>
      <c r="C55" s="5" t="s">
        <v>241</v>
      </c>
      <c r="D55" s="5" t="s">
        <v>1168</v>
      </c>
      <c r="E55" s="29" t="s">
        <v>1169</v>
      </c>
      <c r="F55" s="4"/>
      <c r="G55" s="5"/>
      <c r="H55" s="36"/>
      <c r="I55" s="4"/>
      <c r="J55" s="5"/>
      <c r="K55" s="4"/>
    </row>
    <row r="56" spans="1:11">
      <c r="A56" s="25" t="s">
        <v>746</v>
      </c>
      <c r="B56" s="5" t="s">
        <v>1167</v>
      </c>
      <c r="C56" s="5" t="s">
        <v>89</v>
      </c>
      <c r="D56" s="5" t="s">
        <v>1170</v>
      </c>
      <c r="E56" s="29" t="s">
        <v>1171</v>
      </c>
      <c r="F56" s="4"/>
      <c r="G56" s="5"/>
      <c r="H56" s="36"/>
      <c r="I56" s="4"/>
      <c r="J56" s="5"/>
      <c r="K56" s="4"/>
    </row>
    <row r="57" spans="1:11">
      <c r="A57" s="25" t="s">
        <v>674</v>
      </c>
      <c r="B57" s="5" t="s">
        <v>1167</v>
      </c>
      <c r="C57" s="5" t="s">
        <v>87</v>
      </c>
      <c r="D57" s="5" t="s">
        <v>1172</v>
      </c>
      <c r="E57" s="29" t="s">
        <v>1173</v>
      </c>
      <c r="F57" s="4"/>
      <c r="G57" s="5"/>
      <c r="H57" s="36"/>
      <c r="I57" s="4"/>
      <c r="J57" s="5"/>
      <c r="K57" s="4"/>
    </row>
  </sheetData>
  <mergeCells count="16">
    <mergeCell ref="A23:J23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J5"/>
    <mergeCell ref="A8:J8"/>
    <mergeCell ref="A13:J13"/>
    <mergeCell ref="A17:J1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7"/>
  <sheetViews>
    <sheetView topLeftCell="A23" workbookViewId="0">
      <selection activeCell="E26" sqref="E26:F30"/>
    </sheetView>
  </sheetViews>
  <sheetFormatPr defaultRowHeight="12.75"/>
  <cols>
    <col min="1" max="1" width="24.140625" customWidth="1"/>
    <col min="2" max="2" width="26.85546875" bestFit="1" customWidth="1"/>
    <col min="5" max="5" width="15.42578125" customWidth="1"/>
    <col min="6" max="6" width="14.7109375" customWidth="1"/>
  </cols>
  <sheetData>
    <row r="1" spans="1:11">
      <c r="A1" s="54" t="s">
        <v>1227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 ht="104.25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1" ht="15">
      <c r="A3" s="60" t="s">
        <v>0</v>
      </c>
      <c r="B3" s="62" t="s">
        <v>10</v>
      </c>
      <c r="C3" s="62" t="s">
        <v>8</v>
      </c>
      <c r="D3" s="48" t="s">
        <v>1025</v>
      </c>
      <c r="E3" s="48" t="s">
        <v>1</v>
      </c>
      <c r="F3" s="63" t="s">
        <v>12</v>
      </c>
      <c r="G3" s="60" t="s">
        <v>1112</v>
      </c>
      <c r="H3" s="48"/>
      <c r="I3" s="46" t="s">
        <v>108</v>
      </c>
      <c r="J3" s="48" t="s">
        <v>6</v>
      </c>
      <c r="K3" s="50" t="s">
        <v>5</v>
      </c>
    </row>
    <row r="4" spans="1:11" ht="15.75" thickBot="1">
      <c r="A4" s="61"/>
      <c r="B4" s="49"/>
      <c r="C4" s="49"/>
      <c r="D4" s="49"/>
      <c r="E4" s="49"/>
      <c r="F4" s="64"/>
      <c r="G4" s="33" t="s">
        <v>1113</v>
      </c>
      <c r="H4" s="34" t="s">
        <v>1114</v>
      </c>
      <c r="I4" s="47"/>
      <c r="J4" s="49"/>
      <c r="K4" s="51"/>
    </row>
    <row r="5" spans="1:11" ht="15">
      <c r="A5" s="52" t="s">
        <v>315</v>
      </c>
      <c r="B5" s="53"/>
      <c r="C5" s="53"/>
      <c r="D5" s="53"/>
      <c r="E5" s="53"/>
      <c r="F5" s="53"/>
      <c r="G5" s="53"/>
      <c r="H5" s="53"/>
      <c r="I5" s="53"/>
      <c r="J5" s="53"/>
      <c r="K5" s="4"/>
    </row>
    <row r="6" spans="1:11">
      <c r="A6" s="19" t="s">
        <v>1226</v>
      </c>
      <c r="B6" s="16" t="s">
        <v>1225</v>
      </c>
      <c r="C6" s="16" t="s">
        <v>1224</v>
      </c>
      <c r="D6" s="16" t="str">
        <f>"1,1477"</f>
        <v>1,1477</v>
      </c>
      <c r="E6" s="19" t="s">
        <v>28</v>
      </c>
      <c r="F6" s="19" t="s">
        <v>29</v>
      </c>
      <c r="G6" s="16" t="s">
        <v>523</v>
      </c>
      <c r="H6" s="35" t="s">
        <v>1223</v>
      </c>
      <c r="I6" s="19" t="str">
        <f>"1400,0"</f>
        <v>1400,0</v>
      </c>
      <c r="J6" s="16" t="str">
        <f>"1716,0410"</f>
        <v>1716,0410</v>
      </c>
      <c r="K6" s="19"/>
    </row>
    <row r="7" spans="1:11">
      <c r="A7" s="4"/>
      <c r="B7" s="5"/>
      <c r="C7" s="5"/>
      <c r="D7" s="5"/>
      <c r="E7" s="4"/>
      <c r="F7" s="4"/>
      <c r="G7" s="5"/>
      <c r="H7" s="36"/>
      <c r="I7" s="4"/>
      <c r="J7" s="5"/>
      <c r="K7" s="4"/>
    </row>
    <row r="8" spans="1:11" ht="15">
      <c r="A8" s="45" t="s">
        <v>155</v>
      </c>
      <c r="B8" s="45"/>
      <c r="C8" s="45"/>
      <c r="D8" s="45"/>
      <c r="E8" s="45"/>
      <c r="F8" s="45"/>
      <c r="G8" s="45"/>
      <c r="H8" s="45"/>
      <c r="I8" s="45"/>
      <c r="J8" s="45"/>
      <c r="K8" s="4"/>
    </row>
    <row r="9" spans="1:11">
      <c r="A9" s="9" t="s">
        <v>157</v>
      </c>
      <c r="B9" s="10" t="s">
        <v>158</v>
      </c>
      <c r="C9" s="10" t="s">
        <v>363</v>
      </c>
      <c r="D9" s="10" t="str">
        <f>"0,6920"</f>
        <v>0,6920</v>
      </c>
      <c r="E9" s="9" t="s">
        <v>28</v>
      </c>
      <c r="F9" s="9" t="s">
        <v>29</v>
      </c>
      <c r="G9" s="10" t="s">
        <v>320</v>
      </c>
      <c r="H9" s="37" t="s">
        <v>522</v>
      </c>
      <c r="I9" s="9" t="str">
        <f>"3375,0"</f>
        <v>3375,0</v>
      </c>
      <c r="J9" s="10" t="str">
        <f>"2335,3313"</f>
        <v>2335,3313</v>
      </c>
      <c r="K9" s="9"/>
    </row>
    <row r="10" spans="1:11">
      <c r="A10" s="12" t="s">
        <v>1222</v>
      </c>
      <c r="B10" s="13" t="s">
        <v>1221</v>
      </c>
      <c r="C10" s="13" t="s">
        <v>159</v>
      </c>
      <c r="D10" s="13" t="str">
        <f>"0,6927"</f>
        <v>0,6927</v>
      </c>
      <c r="E10" s="12" t="s">
        <v>28</v>
      </c>
      <c r="F10" s="12" t="s">
        <v>1220</v>
      </c>
      <c r="G10" s="13" t="s">
        <v>320</v>
      </c>
      <c r="H10" s="39" t="s">
        <v>1219</v>
      </c>
      <c r="I10" s="12" t="str">
        <f>"2775,0"</f>
        <v>2775,0</v>
      </c>
      <c r="J10" s="13" t="str">
        <f>"1922,1038"</f>
        <v>1922,1038</v>
      </c>
      <c r="K10" s="12"/>
    </row>
    <row r="11" spans="1:11">
      <c r="A11" s="4"/>
      <c r="B11" s="5"/>
      <c r="C11" s="5"/>
      <c r="D11" s="5"/>
      <c r="E11" s="4"/>
      <c r="F11" s="4"/>
      <c r="G11" s="5"/>
      <c r="H11" s="36"/>
      <c r="I11" s="4"/>
      <c r="J11" s="5"/>
      <c r="K11" s="4"/>
    </row>
    <row r="12" spans="1:11" ht="15">
      <c r="A12" s="45" t="s">
        <v>13</v>
      </c>
      <c r="B12" s="45"/>
      <c r="C12" s="45"/>
      <c r="D12" s="45"/>
      <c r="E12" s="45"/>
      <c r="F12" s="45"/>
      <c r="G12" s="45"/>
      <c r="H12" s="45"/>
      <c r="I12" s="45"/>
      <c r="J12" s="45"/>
      <c r="K12" s="4"/>
    </row>
    <row r="13" spans="1:11">
      <c r="A13" s="19" t="s">
        <v>164</v>
      </c>
      <c r="B13" s="16" t="s">
        <v>1218</v>
      </c>
      <c r="C13" s="16" t="s">
        <v>166</v>
      </c>
      <c r="D13" s="16" t="str">
        <f>"0,6487"</f>
        <v>0,6487</v>
      </c>
      <c r="E13" s="19" t="s">
        <v>28</v>
      </c>
      <c r="F13" s="19" t="s">
        <v>167</v>
      </c>
      <c r="G13" s="16" t="s">
        <v>826</v>
      </c>
      <c r="H13" s="35" t="s">
        <v>1217</v>
      </c>
      <c r="I13" s="19" t="str">
        <f>"1815,0"</f>
        <v>1815,0</v>
      </c>
      <c r="J13" s="16" t="str">
        <f>"1228,0183"</f>
        <v>1228,0183</v>
      </c>
      <c r="K13" s="19"/>
    </row>
    <row r="14" spans="1:11">
      <c r="A14" s="4"/>
      <c r="B14" s="5"/>
      <c r="C14" s="5"/>
      <c r="D14" s="5"/>
      <c r="E14" s="4"/>
      <c r="F14" s="4"/>
      <c r="G14" s="5"/>
      <c r="H14" s="36"/>
      <c r="I14" s="4"/>
      <c r="J14" s="5"/>
      <c r="K14" s="4"/>
    </row>
    <row r="15" spans="1:11" ht="15">
      <c r="A15" s="45" t="s">
        <v>23</v>
      </c>
      <c r="B15" s="45"/>
      <c r="C15" s="45"/>
      <c r="D15" s="45"/>
      <c r="E15" s="45"/>
      <c r="F15" s="45"/>
      <c r="G15" s="45"/>
      <c r="H15" s="45"/>
      <c r="I15" s="45"/>
      <c r="J15" s="45"/>
      <c r="K15" s="4"/>
    </row>
    <row r="16" spans="1:11">
      <c r="A16" s="9" t="s">
        <v>1216</v>
      </c>
      <c r="B16" s="10" t="s">
        <v>1215</v>
      </c>
      <c r="C16" s="10" t="s">
        <v>1214</v>
      </c>
      <c r="D16" s="10" t="str">
        <f>"0,6230"</f>
        <v>0,6230</v>
      </c>
      <c r="E16" s="9" t="s">
        <v>28</v>
      </c>
      <c r="F16" s="9" t="s">
        <v>175</v>
      </c>
      <c r="G16" s="10" t="s">
        <v>1213</v>
      </c>
      <c r="H16" s="37" t="s">
        <v>1212</v>
      </c>
      <c r="I16" s="9" t="str">
        <f>"2275,0"</f>
        <v>2275,0</v>
      </c>
      <c r="J16" s="10" t="str">
        <f>"1417,3251"</f>
        <v>1417,3251</v>
      </c>
      <c r="K16" s="9"/>
    </row>
    <row r="17" spans="1:11">
      <c r="A17" s="12" t="s">
        <v>1211</v>
      </c>
      <c r="B17" s="13" t="s">
        <v>1210</v>
      </c>
      <c r="C17" s="13" t="s">
        <v>693</v>
      </c>
      <c r="D17" s="13" t="str">
        <f>"0,6133"</f>
        <v>0,6133</v>
      </c>
      <c r="E17" s="12" t="s">
        <v>18</v>
      </c>
      <c r="F17" s="12" t="s">
        <v>29</v>
      </c>
      <c r="G17" s="13" t="s">
        <v>325</v>
      </c>
      <c r="H17" s="39" t="s">
        <v>523</v>
      </c>
      <c r="I17" s="12" t="str">
        <f>"4500,0"</f>
        <v>4500,0</v>
      </c>
      <c r="J17" s="13" t="str">
        <f>"2760,0749"</f>
        <v>2760,0749</v>
      </c>
      <c r="K17" s="12"/>
    </row>
    <row r="18" spans="1:11">
      <c r="A18" s="4"/>
      <c r="B18" s="5"/>
      <c r="C18" s="5"/>
      <c r="D18" s="5"/>
      <c r="E18" s="4"/>
      <c r="F18" s="4"/>
      <c r="G18" s="5"/>
      <c r="H18" s="36"/>
      <c r="I18" s="4"/>
      <c r="J18" s="5"/>
      <c r="K18" s="4"/>
    </row>
    <row r="19" spans="1:11" ht="15">
      <c r="A19" s="45" t="s">
        <v>52</v>
      </c>
      <c r="B19" s="45"/>
      <c r="C19" s="45"/>
      <c r="D19" s="45"/>
      <c r="E19" s="45"/>
      <c r="F19" s="45"/>
      <c r="G19" s="45"/>
      <c r="H19" s="45"/>
      <c r="I19" s="45"/>
      <c r="J19" s="45"/>
      <c r="K19" s="4"/>
    </row>
    <row r="20" spans="1:11">
      <c r="A20" s="9" t="s">
        <v>1209</v>
      </c>
      <c r="B20" s="10" t="s">
        <v>1208</v>
      </c>
      <c r="C20" s="10" t="s">
        <v>758</v>
      </c>
      <c r="D20" s="10" t="str">
        <f>"0,5850"</f>
        <v>0,5850</v>
      </c>
      <c r="E20" s="9" t="s">
        <v>18</v>
      </c>
      <c r="F20" s="9" t="s">
        <v>1207</v>
      </c>
      <c r="G20" s="10" t="s">
        <v>258</v>
      </c>
      <c r="H20" s="37" t="s">
        <v>1206</v>
      </c>
      <c r="I20" s="9" t="str">
        <f>"4100,0"</f>
        <v>4100,0</v>
      </c>
      <c r="J20" s="10" t="str">
        <f>"2398,7049"</f>
        <v>2398,7049</v>
      </c>
      <c r="K20" s="9"/>
    </row>
    <row r="21" spans="1:11">
      <c r="A21" s="12" t="s">
        <v>1205</v>
      </c>
      <c r="B21" s="13" t="s">
        <v>1204</v>
      </c>
      <c r="C21" s="13" t="s">
        <v>1203</v>
      </c>
      <c r="D21" s="13" t="str">
        <f>"0,5882"</f>
        <v>0,5882</v>
      </c>
      <c r="E21" s="12" t="s">
        <v>28</v>
      </c>
      <c r="F21" s="12" t="s">
        <v>1202</v>
      </c>
      <c r="G21" s="13" t="s">
        <v>683</v>
      </c>
      <c r="H21" s="39" t="s">
        <v>1127</v>
      </c>
      <c r="I21" s="12" t="str">
        <f>"2047,5"</f>
        <v>2047,5</v>
      </c>
      <c r="J21" s="13" t="str">
        <f>"1216,4863"</f>
        <v>1216,4863</v>
      </c>
      <c r="K21" s="12"/>
    </row>
    <row r="22" spans="1:11">
      <c r="A22" s="4"/>
      <c r="B22" s="5"/>
      <c r="C22" s="5"/>
      <c r="D22" s="5"/>
      <c r="E22" s="4"/>
      <c r="F22" s="4"/>
      <c r="G22" s="5"/>
      <c r="H22" s="36"/>
      <c r="I22" s="4"/>
      <c r="J22" s="5"/>
      <c r="K22" s="4"/>
    </row>
    <row r="23" spans="1:11" ht="15">
      <c r="A23" s="45" t="s">
        <v>66</v>
      </c>
      <c r="B23" s="45"/>
      <c r="C23" s="45"/>
      <c r="D23" s="45"/>
      <c r="E23" s="45"/>
      <c r="F23" s="45"/>
      <c r="G23" s="45"/>
      <c r="H23" s="45"/>
      <c r="I23" s="45"/>
      <c r="J23" s="45"/>
      <c r="K23" s="4"/>
    </row>
    <row r="24" spans="1:11">
      <c r="A24" s="19" t="s">
        <v>1201</v>
      </c>
      <c r="B24" s="16" t="s">
        <v>1200</v>
      </c>
      <c r="C24" s="16" t="s">
        <v>1199</v>
      </c>
      <c r="D24" s="16" t="str">
        <f>"0,5769"</f>
        <v>0,5769</v>
      </c>
      <c r="E24" s="19" t="s">
        <v>18</v>
      </c>
      <c r="F24" s="19" t="s">
        <v>894</v>
      </c>
      <c r="G24" s="16" t="s">
        <v>684</v>
      </c>
      <c r="H24" s="35" t="s">
        <v>1198</v>
      </c>
      <c r="I24" s="19" t="str">
        <f>"5330,0"</f>
        <v>5330,0</v>
      </c>
      <c r="J24" s="16" t="str">
        <f>"3074,8770"</f>
        <v>3074,8770</v>
      </c>
      <c r="K24" s="19"/>
    </row>
    <row r="25" spans="1:11">
      <c r="A25" s="4"/>
      <c r="B25" s="5"/>
      <c r="C25" s="5"/>
      <c r="D25" s="5"/>
      <c r="E25" s="4"/>
      <c r="F25" s="4"/>
      <c r="G25" s="5"/>
      <c r="H25" s="36"/>
      <c r="I25" s="4"/>
      <c r="J25" s="5"/>
      <c r="K25" s="4"/>
    </row>
    <row r="26" spans="1:11">
      <c r="A26" s="4"/>
      <c r="B26" s="5"/>
      <c r="C26" s="5"/>
      <c r="D26" s="5"/>
      <c r="E26" s="31" t="s">
        <v>1095</v>
      </c>
      <c r="F26" s="4"/>
      <c r="G26" s="5"/>
      <c r="H26" s="36"/>
      <c r="I26" s="4"/>
      <c r="J26" s="5"/>
      <c r="K26" s="4"/>
    </row>
    <row r="27" spans="1:11">
      <c r="A27" s="4"/>
      <c r="B27" s="5"/>
      <c r="C27" s="5"/>
      <c r="D27" s="5"/>
      <c r="E27" s="31" t="s">
        <v>1240</v>
      </c>
      <c r="F27" s="4"/>
      <c r="G27" s="5"/>
      <c r="H27" s="36"/>
      <c r="I27" s="4"/>
      <c r="J27" s="5"/>
      <c r="K27" s="4"/>
    </row>
    <row r="28" spans="1:11">
      <c r="A28" s="4"/>
      <c r="B28" s="5"/>
      <c r="C28" s="5"/>
      <c r="D28" s="5"/>
      <c r="E28" s="31" t="s">
        <v>1096</v>
      </c>
      <c r="F28" s="4"/>
      <c r="G28" s="5"/>
      <c r="H28" s="36"/>
      <c r="I28" s="4"/>
      <c r="J28" s="5"/>
      <c r="K28" s="4"/>
    </row>
    <row r="29" spans="1:11">
      <c r="A29" s="4"/>
      <c r="B29" s="5"/>
      <c r="C29" s="5"/>
      <c r="D29" s="5"/>
      <c r="E29" s="31" t="s">
        <v>1241</v>
      </c>
      <c r="F29" s="4"/>
      <c r="G29" s="5"/>
      <c r="H29" s="36"/>
      <c r="I29" s="4"/>
      <c r="J29" s="5"/>
      <c r="K29" s="4"/>
    </row>
    <row r="30" spans="1:11">
      <c r="A30" s="4"/>
      <c r="B30" s="5"/>
      <c r="C30" s="5"/>
      <c r="D30" s="5"/>
      <c r="E30" s="31" t="s">
        <v>1097</v>
      </c>
      <c r="F30" s="4"/>
      <c r="G30" s="5"/>
      <c r="H30" s="36"/>
      <c r="I30" s="4"/>
      <c r="J30" s="5"/>
      <c r="K30" s="4"/>
    </row>
    <row r="31" spans="1:11">
      <c r="A31" s="4"/>
      <c r="B31" s="5"/>
      <c r="C31" s="5"/>
      <c r="D31" s="5"/>
      <c r="E31" s="4"/>
      <c r="F31" s="4"/>
      <c r="G31" s="5"/>
      <c r="H31" s="36"/>
      <c r="I31" s="4"/>
      <c r="J31" s="5"/>
      <c r="K31" s="4"/>
    </row>
    <row r="32" spans="1:11">
      <c r="A32" s="4"/>
      <c r="B32" s="5"/>
      <c r="C32" s="5"/>
      <c r="D32" s="5"/>
      <c r="E32" s="4"/>
      <c r="F32" s="4"/>
      <c r="G32" s="5"/>
      <c r="H32" s="36"/>
      <c r="I32" s="4"/>
      <c r="J32" s="5"/>
      <c r="K32" s="4"/>
    </row>
    <row r="33" spans="1:11">
      <c r="A33" s="4"/>
      <c r="B33" s="5"/>
      <c r="C33" s="5"/>
      <c r="D33" s="5"/>
      <c r="E33" s="4"/>
      <c r="F33" s="4"/>
      <c r="G33" s="5"/>
      <c r="H33" s="36"/>
      <c r="I33" s="4"/>
      <c r="J33" s="5"/>
      <c r="K33" s="4"/>
    </row>
    <row r="34" spans="1:11" ht="18">
      <c r="A34" s="21" t="s">
        <v>81</v>
      </c>
      <c r="B34" s="22"/>
      <c r="C34" s="5"/>
      <c r="D34" s="5"/>
      <c r="E34" s="4"/>
      <c r="F34" s="4"/>
      <c r="G34" s="5"/>
      <c r="H34" s="36"/>
      <c r="I34" s="4"/>
      <c r="J34" s="5"/>
      <c r="K34" s="4"/>
    </row>
    <row r="35" spans="1:11" ht="15">
      <c r="A35" s="23" t="s">
        <v>229</v>
      </c>
      <c r="B35" s="32"/>
      <c r="C35" s="5"/>
      <c r="D35" s="5"/>
      <c r="E35" s="4"/>
      <c r="F35" s="4"/>
      <c r="G35" s="5"/>
      <c r="H35" s="36"/>
      <c r="I35" s="4"/>
      <c r="J35" s="5"/>
      <c r="K35" s="4"/>
    </row>
    <row r="36" spans="1:11" ht="14.25">
      <c r="A36" s="26"/>
      <c r="B36" s="27" t="s">
        <v>102</v>
      </c>
      <c r="C36" s="5"/>
      <c r="D36" s="5"/>
      <c r="E36" s="4"/>
      <c r="F36" s="4"/>
      <c r="G36" s="5"/>
      <c r="H36" s="36"/>
      <c r="I36" s="4"/>
      <c r="J36" s="5"/>
      <c r="K36" s="4"/>
    </row>
    <row r="37" spans="1:11" ht="15">
      <c r="A37" s="28" t="s">
        <v>0</v>
      </c>
      <c r="B37" s="28" t="s">
        <v>84</v>
      </c>
      <c r="C37" s="28" t="s">
        <v>85</v>
      </c>
      <c r="D37" s="28" t="s">
        <v>86</v>
      </c>
      <c r="E37" s="28" t="s">
        <v>1025</v>
      </c>
      <c r="F37" s="4"/>
      <c r="G37" s="5"/>
      <c r="H37" s="36"/>
      <c r="I37" s="4"/>
      <c r="J37" s="5"/>
      <c r="K37" s="4"/>
    </row>
    <row r="38" spans="1:11">
      <c r="A38" s="25" t="s">
        <v>1197</v>
      </c>
      <c r="B38" s="5" t="s">
        <v>1167</v>
      </c>
      <c r="C38" s="5" t="s">
        <v>474</v>
      </c>
      <c r="D38" s="5" t="s">
        <v>1164</v>
      </c>
      <c r="E38" s="29" t="s">
        <v>1196</v>
      </c>
      <c r="F38" s="4"/>
      <c r="G38" s="5"/>
      <c r="H38" s="36"/>
      <c r="I38" s="4"/>
      <c r="J38" s="5"/>
      <c r="K38" s="4"/>
    </row>
    <row r="39" spans="1:11">
      <c r="A39" s="4"/>
      <c r="B39" s="5"/>
      <c r="C39" s="5"/>
      <c r="D39" s="5"/>
      <c r="E39" s="4"/>
      <c r="F39" s="4"/>
      <c r="G39" s="5"/>
      <c r="H39" s="36"/>
      <c r="I39" s="4"/>
      <c r="J39" s="5"/>
      <c r="K39" s="4"/>
    </row>
    <row r="40" spans="1:11">
      <c r="A40" s="4"/>
      <c r="B40" s="5"/>
      <c r="C40" s="5"/>
      <c r="D40" s="5"/>
      <c r="E40" s="4"/>
      <c r="F40" s="4"/>
      <c r="G40" s="5"/>
      <c r="H40" s="36"/>
      <c r="I40" s="4"/>
      <c r="J40" s="5"/>
      <c r="K40" s="4"/>
    </row>
    <row r="41" spans="1:11" ht="15">
      <c r="A41" s="23" t="s">
        <v>82</v>
      </c>
      <c r="B41" s="32"/>
      <c r="C41" s="5"/>
      <c r="D41" s="5"/>
      <c r="E41" s="4"/>
      <c r="F41" s="4"/>
      <c r="G41" s="5"/>
      <c r="H41" s="36"/>
      <c r="I41" s="4"/>
      <c r="J41" s="5"/>
      <c r="K41" s="4"/>
    </row>
    <row r="42" spans="1:11" ht="14.25">
      <c r="A42" s="26"/>
      <c r="B42" s="27" t="s">
        <v>471</v>
      </c>
      <c r="C42" s="5"/>
      <c r="D42" s="5"/>
      <c r="E42" s="4"/>
      <c r="F42" s="4"/>
      <c r="G42" s="5"/>
      <c r="H42" s="36"/>
      <c r="I42" s="4"/>
      <c r="J42" s="5"/>
      <c r="K42" s="4"/>
    </row>
    <row r="43" spans="1:11" ht="15">
      <c r="A43" s="28" t="s">
        <v>0</v>
      </c>
      <c r="B43" s="28" t="s">
        <v>84</v>
      </c>
      <c r="C43" s="28" t="s">
        <v>85</v>
      </c>
      <c r="D43" s="28" t="s">
        <v>86</v>
      </c>
      <c r="E43" s="28" t="s">
        <v>1025</v>
      </c>
      <c r="F43" s="4"/>
      <c r="G43" s="5"/>
      <c r="H43" s="36"/>
      <c r="I43" s="4"/>
      <c r="J43" s="5"/>
      <c r="K43" s="4"/>
    </row>
    <row r="44" spans="1:11">
      <c r="A44" s="25" t="s">
        <v>1195</v>
      </c>
      <c r="B44" s="5" t="s">
        <v>472</v>
      </c>
      <c r="C44" s="5" t="s">
        <v>96</v>
      </c>
      <c r="D44" s="5" t="s">
        <v>1194</v>
      </c>
      <c r="E44" s="29" t="s">
        <v>1193</v>
      </c>
      <c r="F44" s="4"/>
      <c r="G44" s="5"/>
      <c r="H44" s="36"/>
      <c r="I44" s="4"/>
      <c r="J44" s="5"/>
      <c r="K44" s="4"/>
    </row>
    <row r="45" spans="1:11">
      <c r="A45" s="4"/>
      <c r="B45" s="5"/>
      <c r="C45" s="5"/>
      <c r="D45" s="5"/>
      <c r="E45" s="4"/>
      <c r="F45" s="4"/>
      <c r="G45" s="5"/>
      <c r="H45" s="36"/>
      <c r="I45" s="4"/>
      <c r="J45" s="5"/>
      <c r="K45" s="4"/>
    </row>
    <row r="46" spans="1:11" ht="14.25">
      <c r="A46" s="26"/>
      <c r="B46" s="27" t="s">
        <v>83</v>
      </c>
      <c r="C46" s="5"/>
      <c r="D46" s="5"/>
      <c r="E46" s="4"/>
      <c r="F46" s="4"/>
      <c r="G46" s="5"/>
      <c r="H46" s="36"/>
      <c r="I46" s="4"/>
      <c r="J46" s="5"/>
      <c r="K46" s="4"/>
    </row>
    <row r="47" spans="1:11" ht="15">
      <c r="A47" s="28" t="s">
        <v>0</v>
      </c>
      <c r="B47" s="28" t="s">
        <v>84</v>
      </c>
      <c r="C47" s="28" t="s">
        <v>85</v>
      </c>
      <c r="D47" s="28" t="s">
        <v>86</v>
      </c>
      <c r="E47" s="28" t="s">
        <v>1025</v>
      </c>
      <c r="F47" s="4"/>
      <c r="G47" s="5"/>
      <c r="H47" s="36"/>
      <c r="I47" s="4"/>
      <c r="J47" s="5"/>
      <c r="K47" s="4"/>
    </row>
    <row r="48" spans="1:11">
      <c r="A48" s="25" t="s">
        <v>1192</v>
      </c>
      <c r="B48" s="5" t="s">
        <v>83</v>
      </c>
      <c r="C48" s="5" t="s">
        <v>93</v>
      </c>
      <c r="D48" s="5" t="s">
        <v>1191</v>
      </c>
      <c r="E48" s="29" t="s">
        <v>1190</v>
      </c>
      <c r="F48" s="4"/>
      <c r="G48" s="5"/>
      <c r="H48" s="36"/>
      <c r="I48" s="4"/>
      <c r="J48" s="5"/>
      <c r="K48" s="4"/>
    </row>
    <row r="49" spans="1:11">
      <c r="A49" s="25" t="s">
        <v>1189</v>
      </c>
      <c r="B49" s="5" t="s">
        <v>83</v>
      </c>
      <c r="C49" s="5" t="s">
        <v>96</v>
      </c>
      <c r="D49" s="5" t="s">
        <v>1188</v>
      </c>
      <c r="E49" s="29" t="s">
        <v>1187</v>
      </c>
      <c r="F49" s="4"/>
      <c r="G49" s="5"/>
      <c r="H49" s="36"/>
      <c r="I49" s="4"/>
      <c r="J49" s="5"/>
      <c r="K49" s="4"/>
    </row>
    <row r="50" spans="1:11">
      <c r="A50" s="25" t="s">
        <v>1186</v>
      </c>
      <c r="B50" s="5" t="s">
        <v>83</v>
      </c>
      <c r="C50" s="5" t="s">
        <v>89</v>
      </c>
      <c r="D50" s="5" t="s">
        <v>1185</v>
      </c>
      <c r="E50" s="29" t="s">
        <v>1184</v>
      </c>
      <c r="F50" s="4"/>
      <c r="G50" s="5"/>
      <c r="H50" s="36"/>
      <c r="I50" s="4"/>
      <c r="J50" s="5"/>
      <c r="K50" s="4"/>
    </row>
    <row r="51" spans="1:11">
      <c r="A51" s="25" t="s">
        <v>156</v>
      </c>
      <c r="B51" s="5" t="s">
        <v>83</v>
      </c>
      <c r="C51" s="5" t="s">
        <v>241</v>
      </c>
      <c r="D51" s="5" t="s">
        <v>1183</v>
      </c>
      <c r="E51" s="29" t="s">
        <v>1182</v>
      </c>
      <c r="F51" s="4"/>
      <c r="G51" s="5"/>
      <c r="H51" s="36"/>
      <c r="I51" s="4"/>
      <c r="J51" s="5"/>
      <c r="K51" s="4"/>
    </row>
    <row r="52" spans="1:11">
      <c r="A52" s="25" t="s">
        <v>1181</v>
      </c>
      <c r="B52" s="5" t="s">
        <v>83</v>
      </c>
      <c r="C52" s="5" t="s">
        <v>241</v>
      </c>
      <c r="D52" s="5" t="s">
        <v>1180</v>
      </c>
      <c r="E52" s="29" t="s">
        <v>1179</v>
      </c>
      <c r="F52" s="4"/>
      <c r="G52" s="5"/>
      <c r="H52" s="36"/>
      <c r="I52" s="4"/>
      <c r="J52" s="5"/>
      <c r="K52" s="4"/>
    </row>
    <row r="53" spans="1:11">
      <c r="A53" s="4"/>
      <c r="B53" s="5"/>
      <c r="C53" s="5"/>
      <c r="D53" s="5"/>
      <c r="E53" s="4"/>
      <c r="F53" s="4"/>
      <c r="G53" s="5"/>
      <c r="H53" s="36"/>
      <c r="I53" s="4"/>
      <c r="J53" s="5"/>
      <c r="K53" s="4"/>
    </row>
    <row r="54" spans="1:11" ht="14.25">
      <c r="A54" s="26"/>
      <c r="B54" s="27" t="s">
        <v>102</v>
      </c>
      <c r="C54" s="5"/>
      <c r="D54" s="5"/>
      <c r="E54" s="4"/>
      <c r="F54" s="4"/>
      <c r="G54" s="5"/>
      <c r="H54" s="36"/>
      <c r="I54" s="4"/>
      <c r="J54" s="5"/>
      <c r="K54" s="4"/>
    </row>
    <row r="55" spans="1:11" ht="15">
      <c r="A55" s="28" t="s">
        <v>0</v>
      </c>
      <c r="B55" s="28" t="s">
        <v>84</v>
      </c>
      <c r="C55" s="28" t="s">
        <v>85</v>
      </c>
      <c r="D55" s="28" t="s">
        <v>86</v>
      </c>
      <c r="E55" s="28" t="s">
        <v>1025</v>
      </c>
      <c r="F55" s="4"/>
      <c r="G55" s="5"/>
      <c r="H55" s="36"/>
      <c r="I55" s="4"/>
      <c r="J55" s="5"/>
      <c r="K55" s="4"/>
    </row>
    <row r="56" spans="1:11">
      <c r="A56" s="25" t="s">
        <v>163</v>
      </c>
      <c r="B56" s="5" t="s">
        <v>1167</v>
      </c>
      <c r="C56" s="5" t="s">
        <v>87</v>
      </c>
      <c r="D56" s="5" t="s">
        <v>1178</v>
      </c>
      <c r="E56" s="29" t="s">
        <v>1177</v>
      </c>
      <c r="F56" s="4"/>
      <c r="G56" s="5"/>
      <c r="H56" s="36"/>
      <c r="I56" s="4"/>
      <c r="J56" s="5"/>
      <c r="K56" s="4"/>
    </row>
    <row r="57" spans="1:11">
      <c r="A57" s="25" t="s">
        <v>1176</v>
      </c>
      <c r="B57" s="5" t="s">
        <v>1167</v>
      </c>
      <c r="C57" s="5" t="s">
        <v>89</v>
      </c>
      <c r="D57" s="5" t="s">
        <v>1175</v>
      </c>
      <c r="E57" s="29" t="s">
        <v>1174</v>
      </c>
      <c r="F57" s="4"/>
      <c r="G57" s="5"/>
      <c r="H57" s="36"/>
      <c r="I57" s="4"/>
      <c r="J57" s="5"/>
      <c r="K57" s="4"/>
    </row>
  </sheetData>
  <mergeCells count="17">
    <mergeCell ref="A1:K2"/>
    <mergeCell ref="A3:A4"/>
    <mergeCell ref="B3:B4"/>
    <mergeCell ref="C3:C4"/>
    <mergeCell ref="D3:D4"/>
    <mergeCell ref="E3:E4"/>
    <mergeCell ref="F3:F4"/>
    <mergeCell ref="G3:H3"/>
    <mergeCell ref="K3:K4"/>
    <mergeCell ref="A15:J15"/>
    <mergeCell ref="A19:J19"/>
    <mergeCell ref="A23:J23"/>
    <mergeCell ref="I3:I4"/>
    <mergeCell ref="J3:J4"/>
    <mergeCell ref="A5:J5"/>
    <mergeCell ref="A8:J8"/>
    <mergeCell ref="A12:J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E19" sqref="E19:F23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5.2851562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54" t="s">
        <v>1099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.1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0</v>
      </c>
      <c r="B3" s="62" t="s">
        <v>10</v>
      </c>
      <c r="C3" s="62" t="s">
        <v>8</v>
      </c>
      <c r="D3" s="48" t="s">
        <v>1025</v>
      </c>
      <c r="E3" s="48" t="s">
        <v>1</v>
      </c>
      <c r="F3" s="63" t="s">
        <v>12</v>
      </c>
      <c r="G3" s="60" t="s">
        <v>3</v>
      </c>
      <c r="H3" s="48"/>
      <c r="I3" s="48"/>
      <c r="J3" s="50"/>
      <c r="K3" s="46" t="s">
        <v>108</v>
      </c>
      <c r="L3" s="48" t="s">
        <v>6</v>
      </c>
      <c r="M3" s="50" t="s">
        <v>5</v>
      </c>
    </row>
    <row r="4" spans="1:13" s="1" customFormat="1" ht="23.25" customHeight="1" thickBot="1">
      <c r="A4" s="61"/>
      <c r="B4" s="49"/>
      <c r="C4" s="49"/>
      <c r="D4" s="49"/>
      <c r="E4" s="49"/>
      <c r="F4" s="64"/>
      <c r="G4" s="6">
        <v>1</v>
      </c>
      <c r="H4" s="7">
        <v>2</v>
      </c>
      <c r="I4" s="7">
        <v>3</v>
      </c>
      <c r="J4" s="8" t="s">
        <v>7</v>
      </c>
      <c r="K4" s="47"/>
      <c r="L4" s="49"/>
      <c r="M4" s="51"/>
    </row>
    <row r="5" spans="1:13" s="5" customFormat="1" ht="15">
      <c r="A5" s="52" t="s">
        <v>155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4"/>
    </row>
    <row r="6" spans="1:13" s="5" customFormat="1">
      <c r="A6" s="19" t="s">
        <v>1028</v>
      </c>
      <c r="B6" s="16" t="s">
        <v>1029</v>
      </c>
      <c r="C6" s="16" t="s">
        <v>1030</v>
      </c>
      <c r="D6" s="16" t="str">
        <f>"0,6906"</f>
        <v>0,6906</v>
      </c>
      <c r="E6" s="19" t="s">
        <v>681</v>
      </c>
      <c r="F6" s="19" t="s">
        <v>682</v>
      </c>
      <c r="G6" s="16" t="s">
        <v>778</v>
      </c>
      <c r="H6" s="16" t="s">
        <v>193</v>
      </c>
      <c r="I6" s="16" t="s">
        <v>188</v>
      </c>
      <c r="J6" s="20"/>
      <c r="K6" s="19" t="str">
        <f>"180,0"</f>
        <v>180,0</v>
      </c>
      <c r="L6" s="16" t="str">
        <f>"124,3080"</f>
        <v>124,3080</v>
      </c>
      <c r="M6" s="19"/>
    </row>
    <row r="7" spans="1:13" s="5" customFormat="1">
      <c r="A7" s="4"/>
      <c r="E7" s="4"/>
      <c r="F7" s="4"/>
      <c r="K7" s="4"/>
      <c r="M7" s="4"/>
    </row>
    <row r="8" spans="1:13" ht="15">
      <c r="A8" s="45" t="s">
        <v>13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3">
      <c r="A9" s="9" t="s">
        <v>1032</v>
      </c>
      <c r="B9" s="10" t="s">
        <v>1033</v>
      </c>
      <c r="C9" s="10" t="s">
        <v>1034</v>
      </c>
      <c r="D9" s="10" t="str">
        <f>"0,6641"</f>
        <v>0,6641</v>
      </c>
      <c r="E9" s="9" t="s">
        <v>219</v>
      </c>
      <c r="F9" s="9" t="s">
        <v>29</v>
      </c>
      <c r="G9" s="10" t="s">
        <v>194</v>
      </c>
      <c r="H9" s="11" t="s">
        <v>188</v>
      </c>
      <c r="I9" s="10" t="s">
        <v>188</v>
      </c>
      <c r="J9" s="11"/>
      <c r="K9" s="9" t="str">
        <f>"180,0"</f>
        <v>180,0</v>
      </c>
      <c r="L9" s="10" t="str">
        <f>"119,5380"</f>
        <v>119,5380</v>
      </c>
      <c r="M9" s="9"/>
    </row>
    <row r="10" spans="1:13">
      <c r="A10" s="12" t="s">
        <v>164</v>
      </c>
      <c r="B10" s="13" t="s">
        <v>165</v>
      </c>
      <c r="C10" s="13" t="s">
        <v>166</v>
      </c>
      <c r="D10" s="13" t="str">
        <f>"0,6487"</f>
        <v>0,6487</v>
      </c>
      <c r="E10" s="12" t="s">
        <v>28</v>
      </c>
      <c r="F10" s="12" t="s">
        <v>167</v>
      </c>
      <c r="G10" s="13" t="s">
        <v>193</v>
      </c>
      <c r="H10" s="14" t="s">
        <v>390</v>
      </c>
      <c r="I10" s="13" t="s">
        <v>390</v>
      </c>
      <c r="J10" s="14"/>
      <c r="K10" s="12" t="str">
        <f>"185,0"</f>
        <v>185,0</v>
      </c>
      <c r="L10" s="13" t="str">
        <f>"125,1699"</f>
        <v>125,1699</v>
      </c>
      <c r="M10" s="12"/>
    </row>
    <row r="12" spans="1:13" ht="15">
      <c r="A12" s="45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3">
      <c r="A13" s="19" t="s">
        <v>1035</v>
      </c>
      <c r="B13" s="16" t="s">
        <v>1036</v>
      </c>
      <c r="C13" s="16" t="s">
        <v>1037</v>
      </c>
      <c r="D13" s="16" t="str">
        <f>"0,6169"</f>
        <v>0,6169</v>
      </c>
      <c r="E13" s="19" t="s">
        <v>28</v>
      </c>
      <c r="F13" s="19" t="s">
        <v>29</v>
      </c>
      <c r="G13" s="20" t="s">
        <v>21</v>
      </c>
      <c r="H13" s="20" t="s">
        <v>21</v>
      </c>
      <c r="I13" s="20" t="s">
        <v>21</v>
      </c>
      <c r="J13" s="20"/>
      <c r="K13" s="19" t="str">
        <f>"0.00"</f>
        <v>0.00</v>
      </c>
      <c r="L13" s="16" t="str">
        <f>"0,0000"</f>
        <v>0,0000</v>
      </c>
      <c r="M13" s="19"/>
    </row>
    <row r="15" spans="1:13" ht="15">
      <c r="A15" s="45" t="s">
        <v>52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3">
      <c r="A16" s="9" t="s">
        <v>1039</v>
      </c>
      <c r="B16" s="10" t="s">
        <v>1040</v>
      </c>
      <c r="C16" s="10" t="s">
        <v>1026</v>
      </c>
      <c r="D16" s="10" t="str">
        <f>"0,5846"</f>
        <v>0,5846</v>
      </c>
      <c r="E16" s="9" t="s">
        <v>219</v>
      </c>
      <c r="F16" s="9" t="s">
        <v>29</v>
      </c>
      <c r="G16" s="10" t="s">
        <v>274</v>
      </c>
      <c r="H16" s="11" t="s">
        <v>464</v>
      </c>
      <c r="I16" s="10" t="s">
        <v>464</v>
      </c>
      <c r="J16" s="11"/>
      <c r="K16" s="9" t="str">
        <f>"250,0"</f>
        <v>250,0</v>
      </c>
      <c r="L16" s="10" t="str">
        <f>"146,1375"</f>
        <v>146,1375</v>
      </c>
      <c r="M16" s="9"/>
    </row>
    <row r="17" spans="1:13">
      <c r="A17" s="12" t="s">
        <v>1042</v>
      </c>
      <c r="B17" s="13" t="s">
        <v>1043</v>
      </c>
      <c r="C17" s="13" t="s">
        <v>1044</v>
      </c>
      <c r="D17" s="13" t="str">
        <f>"0,5838"</f>
        <v>0,5838</v>
      </c>
      <c r="E17" s="12" t="s">
        <v>28</v>
      </c>
      <c r="F17" s="12" t="s">
        <v>682</v>
      </c>
      <c r="G17" s="13" t="s">
        <v>239</v>
      </c>
      <c r="H17" s="13" t="s">
        <v>274</v>
      </c>
      <c r="I17" s="13" t="s">
        <v>275</v>
      </c>
      <c r="J17" s="14"/>
      <c r="K17" s="12" t="str">
        <f>"245,0"</f>
        <v>245,0</v>
      </c>
      <c r="L17" s="13" t="str">
        <f>"145,8916"</f>
        <v>145,8916</v>
      </c>
      <c r="M17" s="12"/>
    </row>
    <row r="19" spans="1:13">
      <c r="E19" s="31" t="s">
        <v>1095</v>
      </c>
    </row>
    <row r="20" spans="1:13">
      <c r="E20" s="31" t="s">
        <v>1240</v>
      </c>
    </row>
    <row r="21" spans="1:13">
      <c r="E21" s="31" t="s">
        <v>1096</v>
      </c>
    </row>
    <row r="22" spans="1:13">
      <c r="E22" s="31" t="s">
        <v>1241</v>
      </c>
    </row>
    <row r="23" spans="1:13">
      <c r="E23" s="31" t="s">
        <v>1097</v>
      </c>
    </row>
    <row r="27" spans="1:13" ht="18">
      <c r="A27" s="21" t="s">
        <v>81</v>
      </c>
      <c r="B27" s="22"/>
    </row>
    <row r="28" spans="1:13" ht="15">
      <c r="A28" s="23" t="s">
        <v>82</v>
      </c>
      <c r="B28" s="24"/>
    </row>
    <row r="29" spans="1:13" ht="14.25">
      <c r="A29" s="26"/>
      <c r="B29" s="27" t="s">
        <v>83</v>
      </c>
    </row>
    <row r="30" spans="1:13" ht="15">
      <c r="A30" s="28" t="s">
        <v>0</v>
      </c>
      <c r="B30" s="28" t="s">
        <v>84</v>
      </c>
      <c r="C30" s="28" t="s">
        <v>85</v>
      </c>
      <c r="D30" s="28" t="s">
        <v>86</v>
      </c>
      <c r="E30" s="28" t="s">
        <v>1025</v>
      </c>
    </row>
    <row r="31" spans="1:13">
      <c r="A31" s="25" t="s">
        <v>1038</v>
      </c>
      <c r="B31" s="5" t="s">
        <v>83</v>
      </c>
      <c r="C31" s="5" t="s">
        <v>89</v>
      </c>
      <c r="D31" s="5" t="s">
        <v>464</v>
      </c>
      <c r="E31" s="29" t="s">
        <v>1045</v>
      </c>
    </row>
    <row r="32" spans="1:13">
      <c r="A32" s="25" t="s">
        <v>1027</v>
      </c>
      <c r="B32" s="5" t="s">
        <v>83</v>
      </c>
      <c r="C32" s="5" t="s">
        <v>241</v>
      </c>
      <c r="D32" s="5" t="s">
        <v>188</v>
      </c>
      <c r="E32" s="29" t="s">
        <v>1046</v>
      </c>
    </row>
    <row r="33" spans="1:5">
      <c r="A33" s="25" t="s">
        <v>1031</v>
      </c>
      <c r="B33" s="5" t="s">
        <v>83</v>
      </c>
      <c r="C33" s="5" t="s">
        <v>87</v>
      </c>
      <c r="D33" s="5" t="s">
        <v>188</v>
      </c>
      <c r="E33" s="29" t="s">
        <v>1047</v>
      </c>
    </row>
    <row r="35" spans="1:5" ht="14.25">
      <c r="A35" s="26"/>
      <c r="B35" s="27" t="s">
        <v>102</v>
      </c>
    </row>
    <row r="36" spans="1:5" ht="15">
      <c r="A36" s="28" t="s">
        <v>0</v>
      </c>
      <c r="B36" s="28" t="s">
        <v>84</v>
      </c>
      <c r="C36" s="28" t="s">
        <v>85</v>
      </c>
      <c r="D36" s="28" t="s">
        <v>86</v>
      </c>
      <c r="E36" s="28" t="s">
        <v>1025</v>
      </c>
    </row>
    <row r="37" spans="1:5">
      <c r="A37" s="25" t="s">
        <v>1041</v>
      </c>
      <c r="B37" s="5" t="s">
        <v>248</v>
      </c>
      <c r="C37" s="5" t="s">
        <v>89</v>
      </c>
      <c r="D37" s="5" t="s">
        <v>275</v>
      </c>
      <c r="E37" s="29" t="s">
        <v>1048</v>
      </c>
    </row>
    <row r="38" spans="1:5">
      <c r="A38" s="25" t="s">
        <v>163</v>
      </c>
      <c r="B38" s="5" t="s">
        <v>248</v>
      </c>
      <c r="C38" s="5" t="s">
        <v>87</v>
      </c>
      <c r="D38" s="5" t="s">
        <v>390</v>
      </c>
      <c r="E38" s="29" t="s">
        <v>1049</v>
      </c>
    </row>
  </sheetData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15:L15"/>
    <mergeCell ref="K3:K4"/>
    <mergeCell ref="L3:L4"/>
    <mergeCell ref="M3:M4"/>
    <mergeCell ref="A5:L5"/>
    <mergeCell ref="A8:L8"/>
    <mergeCell ref="A12:L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topLeftCell="A3" workbookViewId="0">
      <selection activeCell="E9" sqref="E9:F13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15.28515625" style="4" bestFit="1" customWidth="1"/>
    <col min="7" max="7" width="6.5703125" style="5" bestFit="1" customWidth="1"/>
    <col min="8" max="9" width="2.140625" style="5" bestFit="1" customWidth="1"/>
    <col min="10" max="10" width="5" style="5" bestFit="1" customWidth="1"/>
    <col min="11" max="11" width="6.5703125" style="5" bestFit="1" customWidth="1"/>
    <col min="12" max="13" width="2.140625" style="5" bestFit="1" customWidth="1"/>
    <col min="14" max="14" width="5" style="5" bestFit="1" customWidth="1"/>
    <col min="15" max="15" width="5.5703125" style="5" bestFit="1" customWidth="1"/>
    <col min="16" max="17" width="2.140625" style="5" bestFit="1" customWidth="1"/>
    <col min="18" max="18" width="5" style="5" bestFit="1" customWidth="1"/>
    <col min="19" max="19" width="6.140625" style="4" bestFit="1" customWidth="1"/>
    <col min="20" max="20" width="8.5703125" style="5" bestFit="1" customWidth="1"/>
    <col min="21" max="21" width="7.42578125" style="4" bestFit="1" customWidth="1"/>
    <col min="22" max="16384" width="9.140625" style="3"/>
  </cols>
  <sheetData>
    <row r="1" spans="1:21" s="2" customFormat="1" ht="29.1" customHeight="1">
      <c r="A1" s="54" t="s">
        <v>1100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</row>
    <row r="2" spans="1:21" s="2" customFormat="1" ht="62.1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9"/>
    </row>
    <row r="3" spans="1:21" s="1" customFormat="1" ht="12.75" customHeight="1">
      <c r="A3" s="60" t="s">
        <v>0</v>
      </c>
      <c r="B3" s="62" t="s">
        <v>10</v>
      </c>
      <c r="C3" s="62" t="s">
        <v>8</v>
      </c>
      <c r="D3" s="48" t="s">
        <v>11</v>
      </c>
      <c r="E3" s="48" t="s">
        <v>1</v>
      </c>
      <c r="F3" s="63" t="s">
        <v>12</v>
      </c>
      <c r="G3" s="60" t="s">
        <v>2</v>
      </c>
      <c r="H3" s="48"/>
      <c r="I3" s="48"/>
      <c r="J3" s="50"/>
      <c r="K3" s="60" t="s">
        <v>3</v>
      </c>
      <c r="L3" s="48"/>
      <c r="M3" s="48"/>
      <c r="N3" s="50"/>
      <c r="O3" s="60" t="s">
        <v>4</v>
      </c>
      <c r="P3" s="48"/>
      <c r="Q3" s="48"/>
      <c r="R3" s="50"/>
      <c r="S3" s="46" t="s">
        <v>9</v>
      </c>
      <c r="T3" s="48" t="s">
        <v>6</v>
      </c>
      <c r="U3" s="50" t="s">
        <v>5</v>
      </c>
    </row>
    <row r="4" spans="1:21" s="1" customFormat="1" ht="23.25" customHeight="1" thickBot="1">
      <c r="A4" s="61"/>
      <c r="B4" s="49"/>
      <c r="C4" s="49"/>
      <c r="D4" s="49"/>
      <c r="E4" s="49"/>
      <c r="F4" s="64"/>
      <c r="G4" s="6">
        <v>1</v>
      </c>
      <c r="H4" s="7">
        <v>2</v>
      </c>
      <c r="I4" s="7">
        <v>3</v>
      </c>
      <c r="J4" s="8" t="s">
        <v>7</v>
      </c>
      <c r="K4" s="6">
        <v>1</v>
      </c>
      <c r="L4" s="7">
        <v>2</v>
      </c>
      <c r="M4" s="7">
        <v>3</v>
      </c>
      <c r="N4" s="8" t="s">
        <v>7</v>
      </c>
      <c r="O4" s="6">
        <v>1</v>
      </c>
      <c r="P4" s="7">
        <v>2</v>
      </c>
      <c r="Q4" s="7">
        <v>3</v>
      </c>
      <c r="R4" s="8" t="s">
        <v>7</v>
      </c>
      <c r="S4" s="47"/>
      <c r="T4" s="49"/>
      <c r="U4" s="51"/>
    </row>
    <row r="5" spans="1:21" s="5" customFormat="1" ht="15">
      <c r="A5" s="52" t="s">
        <v>52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4"/>
    </row>
    <row r="6" spans="1:21" s="5" customFormat="1">
      <c r="A6" s="30" t="s">
        <v>1021</v>
      </c>
      <c r="B6" s="10" t="s">
        <v>1018</v>
      </c>
      <c r="C6" s="10" t="s">
        <v>1019</v>
      </c>
      <c r="D6" s="10" t="str">
        <f>"0,5804"</f>
        <v>0,5804</v>
      </c>
      <c r="E6" s="9" t="s">
        <v>28</v>
      </c>
      <c r="F6" s="9" t="s">
        <v>1020</v>
      </c>
      <c r="G6" s="13" t="s">
        <v>698</v>
      </c>
      <c r="H6" s="11"/>
      <c r="I6" s="11"/>
      <c r="J6" s="11"/>
      <c r="K6" s="13" t="s">
        <v>741</v>
      </c>
      <c r="L6" s="11"/>
      <c r="M6" s="11"/>
      <c r="N6" s="11"/>
      <c r="O6" s="13" t="s">
        <v>1094</v>
      </c>
      <c r="P6" s="11"/>
      <c r="Q6" s="11"/>
      <c r="R6" s="11"/>
      <c r="S6" s="12" t="str">
        <f>"445,0"</f>
        <v>445,0</v>
      </c>
      <c r="T6" s="13" t="str">
        <f>"270,6753"</f>
        <v>270,6753</v>
      </c>
      <c r="U6" s="12"/>
    </row>
    <row r="7" spans="1:21" s="5" customFormat="1">
      <c r="A7" s="12" t="s">
        <v>1021</v>
      </c>
      <c r="B7" s="13" t="s">
        <v>1022</v>
      </c>
      <c r="C7" s="13" t="s">
        <v>1019</v>
      </c>
      <c r="D7" s="13" t="str">
        <f>"0,5804"</f>
        <v>0,5804</v>
      </c>
      <c r="E7" s="12" t="s">
        <v>28</v>
      </c>
      <c r="F7" s="12" t="s">
        <v>1020</v>
      </c>
      <c r="G7" s="13" t="s">
        <v>698</v>
      </c>
      <c r="H7" s="14"/>
      <c r="I7" s="14"/>
      <c r="J7" s="14"/>
      <c r="K7" s="13" t="s">
        <v>741</v>
      </c>
      <c r="L7" s="14"/>
      <c r="M7" s="14"/>
      <c r="N7" s="14"/>
      <c r="O7" s="13" t="s">
        <v>200</v>
      </c>
      <c r="P7" s="14"/>
      <c r="Q7" s="14"/>
      <c r="R7" s="14"/>
      <c r="S7" s="12" t="str">
        <f>"445,0"</f>
        <v>445,0</v>
      </c>
      <c r="T7" s="13" t="str">
        <f>"270,6753"</f>
        <v>270,6753</v>
      </c>
      <c r="U7" s="12"/>
    </row>
    <row r="9" spans="1:21">
      <c r="E9" s="31" t="s">
        <v>1095</v>
      </c>
    </row>
    <row r="10" spans="1:21">
      <c r="E10" s="31" t="s">
        <v>1240</v>
      </c>
    </row>
    <row r="11" spans="1:21">
      <c r="E11" s="31" t="s">
        <v>1096</v>
      </c>
    </row>
    <row r="12" spans="1:21">
      <c r="E12" s="31" t="s">
        <v>1241</v>
      </c>
    </row>
    <row r="13" spans="1:21">
      <c r="E13" s="31" t="s">
        <v>1097</v>
      </c>
    </row>
    <row r="17" spans="1:5" ht="18">
      <c r="A17" s="21" t="s">
        <v>81</v>
      </c>
      <c r="B17" s="22"/>
    </row>
    <row r="18" spans="1:5" ht="15">
      <c r="A18" s="23" t="s">
        <v>82</v>
      </c>
      <c r="B18" s="24"/>
    </row>
    <row r="19" spans="1:5" ht="14.25">
      <c r="A19" s="26"/>
      <c r="B19" s="27" t="s">
        <v>83</v>
      </c>
    </row>
    <row r="20" spans="1:5" ht="15">
      <c r="A20" s="28" t="s">
        <v>0</v>
      </c>
      <c r="B20" s="28" t="s">
        <v>84</v>
      </c>
      <c r="C20" s="28" t="s">
        <v>85</v>
      </c>
      <c r="D20" s="28" t="s">
        <v>86</v>
      </c>
      <c r="E20" s="28" t="s">
        <v>11</v>
      </c>
    </row>
    <row r="21" spans="1:5">
      <c r="A21" s="25" t="s">
        <v>1017</v>
      </c>
      <c r="B21" s="10" t="s">
        <v>1018</v>
      </c>
      <c r="C21" s="5" t="s">
        <v>89</v>
      </c>
      <c r="D21" s="5" t="s">
        <v>1023</v>
      </c>
      <c r="E21" s="29" t="s">
        <v>1024</v>
      </c>
    </row>
    <row r="22" spans="1:5" ht="15">
      <c r="A22" s="23" t="s">
        <v>82</v>
      </c>
      <c r="B22" s="24"/>
    </row>
    <row r="23" spans="1:5" ht="14.25">
      <c r="A23" s="26"/>
      <c r="B23" s="27" t="s">
        <v>102</v>
      </c>
    </row>
    <row r="24" spans="1:5" ht="15">
      <c r="A24" s="28" t="s">
        <v>0</v>
      </c>
      <c r="B24" s="28" t="s">
        <v>84</v>
      </c>
      <c r="C24" s="28" t="s">
        <v>85</v>
      </c>
      <c r="D24" s="28" t="s">
        <v>86</v>
      </c>
      <c r="E24" s="28" t="s">
        <v>11</v>
      </c>
    </row>
    <row r="25" spans="1:5">
      <c r="A25" s="25" t="s">
        <v>1017</v>
      </c>
      <c r="B25" s="5" t="s">
        <v>252</v>
      </c>
      <c r="C25" s="5" t="s">
        <v>89</v>
      </c>
      <c r="D25" s="5" t="s">
        <v>1023</v>
      </c>
      <c r="E25" s="29" t="s">
        <v>1024</v>
      </c>
    </row>
  </sheetData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1"/>
  <sheetViews>
    <sheetView topLeftCell="A53" workbookViewId="0">
      <selection activeCell="B82" sqref="B82"/>
    </sheetView>
  </sheetViews>
  <sheetFormatPr defaultRowHeight="12.75"/>
  <cols>
    <col min="1" max="1" width="27" style="4" bestFit="1" customWidth="1"/>
    <col min="2" max="2" width="30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21.85546875" style="4" bestFit="1" customWidth="1"/>
    <col min="7" max="8" width="6.5703125" style="5" bestFit="1" customWidth="1"/>
    <col min="9" max="9" width="6.5703125" style="5" customWidth="1"/>
    <col min="10" max="10" width="5.5703125" style="5" bestFit="1" customWidth="1"/>
    <col min="11" max="11" width="6.5703125" style="5" bestFit="1" customWidth="1"/>
    <col min="12" max="12" width="6.5703125" style="5" customWidth="1"/>
    <col min="13" max="13" width="6.5703125" style="5" bestFit="1" customWidth="1"/>
    <col min="14" max="14" width="5" style="5" bestFit="1" customWidth="1"/>
    <col min="15" max="15" width="6.5703125" style="5" bestFit="1" customWidth="1"/>
    <col min="16" max="16" width="6.5703125" style="5" customWidth="1"/>
    <col min="17" max="17" width="6.5703125" style="5" bestFit="1" customWidth="1"/>
    <col min="18" max="18" width="5.5703125" style="5" bestFit="1" customWidth="1"/>
    <col min="19" max="19" width="6.140625" style="4" bestFit="1" customWidth="1"/>
    <col min="20" max="20" width="8.5703125" style="5" bestFit="1" customWidth="1"/>
    <col min="21" max="21" width="12.140625" style="4" bestFit="1" customWidth="1"/>
    <col min="22" max="16384" width="9.140625" style="3"/>
  </cols>
  <sheetData>
    <row r="1" spans="1:21" s="2" customFormat="1" ht="29.1" customHeight="1">
      <c r="A1" s="54" t="s">
        <v>1101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</row>
    <row r="2" spans="1:21" s="2" customFormat="1" ht="62.1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9"/>
    </row>
    <row r="3" spans="1:21" s="1" customFormat="1" ht="12.75" customHeight="1">
      <c r="A3" s="60" t="s">
        <v>0</v>
      </c>
      <c r="B3" s="62" t="s">
        <v>10</v>
      </c>
      <c r="C3" s="62" t="s">
        <v>8</v>
      </c>
      <c r="D3" s="48" t="s">
        <v>11</v>
      </c>
      <c r="E3" s="48" t="s">
        <v>1</v>
      </c>
      <c r="F3" s="63" t="s">
        <v>12</v>
      </c>
      <c r="G3" s="60" t="s">
        <v>2</v>
      </c>
      <c r="H3" s="48"/>
      <c r="I3" s="48"/>
      <c r="J3" s="50"/>
      <c r="K3" s="60" t="s">
        <v>3</v>
      </c>
      <c r="L3" s="48"/>
      <c r="M3" s="48"/>
      <c r="N3" s="50"/>
      <c r="O3" s="60" t="s">
        <v>4</v>
      </c>
      <c r="P3" s="48"/>
      <c r="Q3" s="48"/>
      <c r="R3" s="50"/>
      <c r="S3" s="46" t="s">
        <v>9</v>
      </c>
      <c r="T3" s="48" t="s">
        <v>6</v>
      </c>
      <c r="U3" s="50" t="s">
        <v>5</v>
      </c>
    </row>
    <row r="4" spans="1:21" s="1" customFormat="1" ht="23.25" customHeight="1" thickBot="1">
      <c r="A4" s="61"/>
      <c r="B4" s="49"/>
      <c r="C4" s="49"/>
      <c r="D4" s="49"/>
      <c r="E4" s="49"/>
      <c r="F4" s="64"/>
      <c r="G4" s="6">
        <v>1</v>
      </c>
      <c r="H4" s="7">
        <v>2</v>
      </c>
      <c r="I4" s="7">
        <v>3</v>
      </c>
      <c r="J4" s="8" t="s">
        <v>7</v>
      </c>
      <c r="K4" s="6">
        <v>1</v>
      </c>
      <c r="L4" s="7">
        <v>2</v>
      </c>
      <c r="M4" s="7">
        <v>3</v>
      </c>
      <c r="N4" s="8" t="s">
        <v>7</v>
      </c>
      <c r="O4" s="6">
        <v>1</v>
      </c>
      <c r="P4" s="7">
        <v>2</v>
      </c>
      <c r="Q4" s="7">
        <v>3</v>
      </c>
      <c r="R4" s="8" t="s">
        <v>7</v>
      </c>
      <c r="S4" s="47"/>
      <c r="T4" s="49"/>
      <c r="U4" s="51"/>
    </row>
    <row r="5" spans="1:21" s="5" customFormat="1" ht="15">
      <c r="A5" s="52" t="s">
        <v>307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4"/>
    </row>
    <row r="6" spans="1:21" s="5" customFormat="1">
      <c r="A6" s="19" t="s">
        <v>876</v>
      </c>
      <c r="B6" s="16" t="s">
        <v>877</v>
      </c>
      <c r="C6" s="16" t="s">
        <v>878</v>
      </c>
      <c r="D6" s="16" t="str">
        <f>"1,0388"</f>
        <v>1,0388</v>
      </c>
      <c r="E6" s="19" t="s">
        <v>28</v>
      </c>
      <c r="F6" s="19" t="s">
        <v>29</v>
      </c>
      <c r="G6" s="16" t="s">
        <v>879</v>
      </c>
      <c r="H6" s="16" t="s">
        <v>312</v>
      </c>
      <c r="I6" s="16" t="s">
        <v>267</v>
      </c>
      <c r="J6" s="20"/>
      <c r="K6" s="16" t="s">
        <v>541</v>
      </c>
      <c r="L6" s="16" t="s">
        <v>880</v>
      </c>
      <c r="M6" s="20" t="s">
        <v>881</v>
      </c>
      <c r="N6" s="20"/>
      <c r="O6" s="20" t="s">
        <v>325</v>
      </c>
      <c r="P6" s="16" t="s">
        <v>144</v>
      </c>
      <c r="Q6" s="20" t="s">
        <v>136</v>
      </c>
      <c r="R6" s="20"/>
      <c r="S6" s="19" t="str">
        <f>"260,0"</f>
        <v>260,0</v>
      </c>
      <c r="T6" s="16" t="str">
        <f>"270,0880"</f>
        <v>270,0880</v>
      </c>
      <c r="U6" s="19"/>
    </row>
    <row r="7" spans="1:21" s="5" customFormat="1">
      <c r="A7" s="4"/>
      <c r="E7" s="4"/>
      <c r="F7" s="4"/>
      <c r="S7" s="4"/>
      <c r="U7" s="4"/>
    </row>
    <row r="8" spans="1:21" ht="15">
      <c r="A8" s="45" t="s">
        <v>531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1">
      <c r="A9" s="19" t="s">
        <v>883</v>
      </c>
      <c r="B9" s="16" t="s">
        <v>884</v>
      </c>
      <c r="C9" s="16" t="s">
        <v>885</v>
      </c>
      <c r="D9" s="16" t="str">
        <f>"0,9362"</f>
        <v>0,9362</v>
      </c>
      <c r="E9" s="19" t="s">
        <v>28</v>
      </c>
      <c r="F9" s="19" t="s">
        <v>29</v>
      </c>
      <c r="G9" s="20" t="s">
        <v>320</v>
      </c>
      <c r="H9" s="16" t="s">
        <v>886</v>
      </c>
      <c r="I9" s="20" t="s">
        <v>135</v>
      </c>
      <c r="J9" s="20"/>
      <c r="K9" s="16" t="s">
        <v>887</v>
      </c>
      <c r="L9" s="16" t="s">
        <v>888</v>
      </c>
      <c r="M9" s="16" t="s">
        <v>889</v>
      </c>
      <c r="N9" s="20"/>
      <c r="O9" s="16" t="s">
        <v>528</v>
      </c>
      <c r="P9" s="16" t="s">
        <v>530</v>
      </c>
      <c r="Q9" s="20" t="s">
        <v>811</v>
      </c>
      <c r="R9" s="20"/>
      <c r="S9" s="19" t="str">
        <f>"177,5"</f>
        <v>177,5</v>
      </c>
      <c r="T9" s="16" t="str">
        <f>"166,1755"</f>
        <v>166,1755</v>
      </c>
      <c r="U9" s="19"/>
    </row>
    <row r="11" spans="1:21" ht="15">
      <c r="A11" s="45" t="s">
        <v>130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</row>
    <row r="12" spans="1:21">
      <c r="A12" s="9" t="s">
        <v>891</v>
      </c>
      <c r="B12" s="10" t="s">
        <v>892</v>
      </c>
      <c r="C12" s="10" t="s">
        <v>893</v>
      </c>
      <c r="D12" s="10" t="str">
        <f>"0,8603"</f>
        <v>0,8603</v>
      </c>
      <c r="E12" s="9" t="s">
        <v>28</v>
      </c>
      <c r="F12" s="9" t="s">
        <v>894</v>
      </c>
      <c r="G12" s="10" t="s">
        <v>260</v>
      </c>
      <c r="H12" s="11" t="s">
        <v>881</v>
      </c>
      <c r="I12" s="11" t="s">
        <v>881</v>
      </c>
      <c r="J12" s="11"/>
      <c r="K12" s="10" t="s">
        <v>895</v>
      </c>
      <c r="L12" s="11" t="s">
        <v>896</v>
      </c>
      <c r="M12" s="11" t="s">
        <v>896</v>
      </c>
      <c r="N12" s="11"/>
      <c r="O12" s="10" t="s">
        <v>529</v>
      </c>
      <c r="P12" s="10" t="s">
        <v>811</v>
      </c>
      <c r="Q12" s="11" t="s">
        <v>881</v>
      </c>
      <c r="R12" s="11"/>
      <c r="S12" s="9" t="str">
        <f>"157,5"</f>
        <v>157,5</v>
      </c>
      <c r="T12" s="10" t="str">
        <f>"135,4973"</f>
        <v>135,4973</v>
      </c>
      <c r="U12" s="9"/>
    </row>
    <row r="13" spans="1:21">
      <c r="A13" s="12" t="s">
        <v>898</v>
      </c>
      <c r="B13" s="13" t="s">
        <v>899</v>
      </c>
      <c r="C13" s="13" t="s">
        <v>900</v>
      </c>
      <c r="D13" s="13" t="str">
        <f>"0,8615"</f>
        <v>0,8615</v>
      </c>
      <c r="E13" s="12" t="s">
        <v>28</v>
      </c>
      <c r="F13" s="12" t="s">
        <v>29</v>
      </c>
      <c r="G13" s="13" t="s">
        <v>879</v>
      </c>
      <c r="H13" s="13" t="s">
        <v>345</v>
      </c>
      <c r="I13" s="13" t="s">
        <v>314</v>
      </c>
      <c r="J13" s="14"/>
      <c r="K13" s="13" t="s">
        <v>547</v>
      </c>
      <c r="L13" s="13" t="s">
        <v>528</v>
      </c>
      <c r="M13" s="14"/>
      <c r="N13" s="14"/>
      <c r="O13" s="13" t="s">
        <v>345</v>
      </c>
      <c r="P13" s="13" t="s">
        <v>712</v>
      </c>
      <c r="Q13" s="13" t="s">
        <v>125</v>
      </c>
      <c r="R13" s="14"/>
      <c r="S13" s="12" t="str">
        <f>"285,0"</f>
        <v>285,0</v>
      </c>
      <c r="T13" s="13" t="str">
        <f>"304,2086"</f>
        <v>304,2086</v>
      </c>
      <c r="U13" s="12"/>
    </row>
    <row r="15" spans="1:21" ht="15">
      <c r="A15" s="45" t="s">
        <v>13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1">
      <c r="A16" s="19" t="s">
        <v>902</v>
      </c>
      <c r="B16" s="16" t="s">
        <v>903</v>
      </c>
      <c r="C16" s="16" t="s">
        <v>904</v>
      </c>
      <c r="D16" s="16" t="str">
        <f>"0,6949"</f>
        <v>0,6949</v>
      </c>
      <c r="E16" s="19" t="s">
        <v>28</v>
      </c>
      <c r="F16" s="19" t="s">
        <v>29</v>
      </c>
      <c r="G16" s="20" t="s">
        <v>220</v>
      </c>
      <c r="H16" s="16" t="s">
        <v>905</v>
      </c>
      <c r="I16" s="16" t="s">
        <v>125</v>
      </c>
      <c r="J16" s="20"/>
      <c r="K16" s="16" t="s">
        <v>547</v>
      </c>
      <c r="L16" s="16" t="s">
        <v>558</v>
      </c>
      <c r="M16" s="16" t="s">
        <v>528</v>
      </c>
      <c r="N16" s="20"/>
      <c r="O16" s="16" t="s">
        <v>221</v>
      </c>
      <c r="P16" s="16" t="s">
        <v>262</v>
      </c>
      <c r="Q16" s="16" t="s">
        <v>639</v>
      </c>
      <c r="R16" s="20"/>
      <c r="S16" s="19" t="str">
        <f>"312,5"</f>
        <v>312,5</v>
      </c>
      <c r="T16" s="16" t="str">
        <f>"217,1562"</f>
        <v>217,1562</v>
      </c>
      <c r="U16" s="19" t="s">
        <v>906</v>
      </c>
    </row>
    <row r="18" spans="1:21" ht="15">
      <c r="A18" s="45" t="s">
        <v>130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1:21">
      <c r="A19" s="19" t="s">
        <v>908</v>
      </c>
      <c r="B19" s="16" t="s">
        <v>909</v>
      </c>
      <c r="C19" s="16" t="s">
        <v>910</v>
      </c>
      <c r="D19" s="16" t="str">
        <f>"0,8242"</f>
        <v>0,8242</v>
      </c>
      <c r="E19" s="19" t="s">
        <v>28</v>
      </c>
      <c r="F19" s="19" t="s">
        <v>29</v>
      </c>
      <c r="G19" s="16" t="s">
        <v>260</v>
      </c>
      <c r="H19" s="16" t="s">
        <v>541</v>
      </c>
      <c r="I19" s="16" t="s">
        <v>880</v>
      </c>
      <c r="J19" s="16" t="s">
        <v>911</v>
      </c>
      <c r="K19" s="16" t="s">
        <v>889</v>
      </c>
      <c r="L19" s="16" t="s">
        <v>912</v>
      </c>
      <c r="M19" s="20" t="s">
        <v>522</v>
      </c>
      <c r="N19" s="20"/>
      <c r="O19" s="16" t="s">
        <v>886</v>
      </c>
      <c r="P19" s="16" t="s">
        <v>574</v>
      </c>
      <c r="Q19" s="16" t="s">
        <v>575</v>
      </c>
      <c r="R19" s="16" t="s">
        <v>143</v>
      </c>
      <c r="S19" s="19" t="str">
        <f>"192,5"</f>
        <v>192,5</v>
      </c>
      <c r="T19" s="16" t="str">
        <f>"158,6585"</f>
        <v>158,6585</v>
      </c>
      <c r="U19" s="19"/>
    </row>
    <row r="21" spans="1:21" ht="15">
      <c r="A21" s="45" t="s">
        <v>137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1">
      <c r="A22" s="19" t="s">
        <v>356</v>
      </c>
      <c r="B22" s="16" t="s">
        <v>357</v>
      </c>
      <c r="C22" s="16" t="s">
        <v>358</v>
      </c>
      <c r="D22" s="16" t="str">
        <f>"0,7492"</f>
        <v>0,7492</v>
      </c>
      <c r="E22" s="19" t="s">
        <v>28</v>
      </c>
      <c r="F22" s="19" t="s">
        <v>359</v>
      </c>
      <c r="G22" s="20" t="s">
        <v>220</v>
      </c>
      <c r="H22" s="20" t="s">
        <v>905</v>
      </c>
      <c r="I22" s="16" t="s">
        <v>712</v>
      </c>
      <c r="J22" s="20"/>
      <c r="K22" s="16" t="s">
        <v>911</v>
      </c>
      <c r="L22" s="16" t="s">
        <v>886</v>
      </c>
      <c r="M22" s="20" t="s">
        <v>257</v>
      </c>
      <c r="N22" s="20"/>
      <c r="O22" s="20" t="s">
        <v>276</v>
      </c>
      <c r="P22" s="16" t="s">
        <v>169</v>
      </c>
      <c r="Q22" s="16" t="s">
        <v>385</v>
      </c>
      <c r="R22" s="20"/>
      <c r="S22" s="19" t="str">
        <f>"345,0"</f>
        <v>345,0</v>
      </c>
      <c r="T22" s="16" t="str">
        <f>"258,4740"</f>
        <v>258,4740</v>
      </c>
      <c r="U22" s="19"/>
    </row>
    <row r="24" spans="1:21" ht="15">
      <c r="A24" s="45" t="s">
        <v>155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1">
      <c r="A25" s="9" t="s">
        <v>914</v>
      </c>
      <c r="B25" s="10" t="s">
        <v>915</v>
      </c>
      <c r="C25" s="10" t="s">
        <v>916</v>
      </c>
      <c r="D25" s="10" t="str">
        <f>"0,6723"</f>
        <v>0,6723</v>
      </c>
      <c r="E25" s="9" t="s">
        <v>28</v>
      </c>
      <c r="F25" s="9" t="s">
        <v>29</v>
      </c>
      <c r="G25" s="10" t="s">
        <v>268</v>
      </c>
      <c r="H25" s="10" t="s">
        <v>30</v>
      </c>
      <c r="I25" s="10" t="s">
        <v>31</v>
      </c>
      <c r="J25" s="11"/>
      <c r="K25" s="10" t="s">
        <v>345</v>
      </c>
      <c r="L25" s="10" t="s">
        <v>220</v>
      </c>
      <c r="M25" s="11" t="s">
        <v>905</v>
      </c>
      <c r="N25" s="11"/>
      <c r="O25" s="10" t="s">
        <v>38</v>
      </c>
      <c r="P25" s="10" t="s">
        <v>268</v>
      </c>
      <c r="Q25" s="11" t="s">
        <v>39</v>
      </c>
      <c r="R25" s="11"/>
      <c r="S25" s="9" t="str">
        <f>"530,0"</f>
        <v>530,0</v>
      </c>
      <c r="T25" s="10" t="str">
        <f>"356,3190"</f>
        <v>356,3190</v>
      </c>
      <c r="U25" s="9"/>
    </row>
    <row r="26" spans="1:21">
      <c r="A26" s="17" t="s">
        <v>918</v>
      </c>
      <c r="B26" s="15" t="s">
        <v>919</v>
      </c>
      <c r="C26" s="15" t="s">
        <v>363</v>
      </c>
      <c r="D26" s="15" t="str">
        <f>"0,6680"</f>
        <v>0,6680</v>
      </c>
      <c r="E26" s="17" t="s">
        <v>28</v>
      </c>
      <c r="F26" s="17" t="s">
        <v>29</v>
      </c>
      <c r="G26" s="15" t="s">
        <v>162</v>
      </c>
      <c r="H26" s="18" t="s">
        <v>194</v>
      </c>
      <c r="I26" s="15" t="s">
        <v>194</v>
      </c>
      <c r="J26" s="18"/>
      <c r="K26" s="15" t="s">
        <v>125</v>
      </c>
      <c r="L26" s="15" t="s">
        <v>261</v>
      </c>
      <c r="M26" s="18" t="s">
        <v>222</v>
      </c>
      <c r="N26" s="18"/>
      <c r="O26" s="15" t="s">
        <v>49</v>
      </c>
      <c r="P26" s="15" t="s">
        <v>80</v>
      </c>
      <c r="Q26" s="15" t="s">
        <v>30</v>
      </c>
      <c r="R26" s="18"/>
      <c r="S26" s="17" t="str">
        <f>"510,0"</f>
        <v>510,0</v>
      </c>
      <c r="T26" s="15" t="str">
        <f>"340,6800"</f>
        <v>340,6800</v>
      </c>
      <c r="U26" s="17"/>
    </row>
    <row r="27" spans="1:21">
      <c r="A27" s="17" t="s">
        <v>920</v>
      </c>
      <c r="B27" s="15" t="s">
        <v>376</v>
      </c>
      <c r="C27" s="15" t="s">
        <v>344</v>
      </c>
      <c r="D27" s="15" t="str">
        <f>"0,6730"</f>
        <v>0,6730</v>
      </c>
      <c r="E27" s="17" t="s">
        <v>219</v>
      </c>
      <c r="F27" s="17" t="s">
        <v>29</v>
      </c>
      <c r="G27" s="15" t="s">
        <v>276</v>
      </c>
      <c r="H27" s="15" t="s">
        <v>170</v>
      </c>
      <c r="I27" s="15" t="s">
        <v>200</v>
      </c>
      <c r="J27" s="18"/>
      <c r="K27" s="15" t="s">
        <v>235</v>
      </c>
      <c r="L27" s="15" t="s">
        <v>579</v>
      </c>
      <c r="M27" s="18" t="s">
        <v>220</v>
      </c>
      <c r="N27" s="18"/>
      <c r="O27" s="15" t="s">
        <v>921</v>
      </c>
      <c r="P27" s="18" t="s">
        <v>862</v>
      </c>
      <c r="Q27" s="18" t="s">
        <v>862</v>
      </c>
      <c r="R27" s="18"/>
      <c r="S27" s="17" t="str">
        <f>"437,5"</f>
        <v>437,5</v>
      </c>
      <c r="T27" s="15" t="str">
        <f>"294,4375"</f>
        <v>294,4375</v>
      </c>
      <c r="U27" s="17"/>
    </row>
    <row r="28" spans="1:21">
      <c r="A28" s="12" t="s">
        <v>581</v>
      </c>
      <c r="B28" s="13" t="s">
        <v>922</v>
      </c>
      <c r="C28" s="13" t="s">
        <v>923</v>
      </c>
      <c r="D28" s="13" t="str">
        <f>"0,6874"</f>
        <v>0,6874</v>
      </c>
      <c r="E28" s="12" t="s">
        <v>28</v>
      </c>
      <c r="F28" s="12" t="s">
        <v>924</v>
      </c>
      <c r="G28" s="14" t="s">
        <v>222</v>
      </c>
      <c r="H28" s="14" t="s">
        <v>222</v>
      </c>
      <c r="I28" s="13" t="s">
        <v>262</v>
      </c>
      <c r="J28" s="14"/>
      <c r="K28" s="13" t="s">
        <v>345</v>
      </c>
      <c r="L28" s="13" t="s">
        <v>313</v>
      </c>
      <c r="M28" s="13" t="s">
        <v>152</v>
      </c>
      <c r="N28" s="14"/>
      <c r="O28" s="13" t="s">
        <v>262</v>
      </c>
      <c r="P28" s="13" t="s">
        <v>281</v>
      </c>
      <c r="Q28" s="13" t="s">
        <v>169</v>
      </c>
      <c r="R28" s="14"/>
      <c r="S28" s="12" t="str">
        <f>"390,0"</f>
        <v>390,0</v>
      </c>
      <c r="T28" s="13" t="str">
        <f>"286,5839"</f>
        <v>286,5839</v>
      </c>
      <c r="U28" s="12"/>
    </row>
    <row r="30" spans="1:21" ht="15">
      <c r="A30" s="45" t="s">
        <v>13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1">
      <c r="A31" s="9" t="s">
        <v>926</v>
      </c>
      <c r="B31" s="10" t="s">
        <v>927</v>
      </c>
      <c r="C31" s="10" t="s">
        <v>928</v>
      </c>
      <c r="D31" s="10" t="str">
        <f>"0,6319"</f>
        <v>0,6319</v>
      </c>
      <c r="E31" s="9" t="s">
        <v>28</v>
      </c>
      <c r="F31" s="9" t="s">
        <v>29</v>
      </c>
      <c r="G31" s="10" t="s">
        <v>49</v>
      </c>
      <c r="H31" s="10" t="s">
        <v>30</v>
      </c>
      <c r="I31" s="11" t="s">
        <v>40</v>
      </c>
      <c r="J31" s="11"/>
      <c r="K31" s="10" t="s">
        <v>385</v>
      </c>
      <c r="L31" s="11" t="s">
        <v>187</v>
      </c>
      <c r="M31" s="11" t="s">
        <v>187</v>
      </c>
      <c r="N31" s="11"/>
      <c r="O31" s="11" t="s">
        <v>39</v>
      </c>
      <c r="P31" s="10" t="s">
        <v>30</v>
      </c>
      <c r="Q31" s="10" t="s">
        <v>32</v>
      </c>
      <c r="R31" s="11"/>
      <c r="S31" s="9" t="str">
        <f>"595,0"</f>
        <v>595,0</v>
      </c>
      <c r="T31" s="10" t="str">
        <f>"375,9805"</f>
        <v>375,9805</v>
      </c>
      <c r="U31" s="9"/>
    </row>
    <row r="32" spans="1:21">
      <c r="A32" s="17" t="s">
        <v>929</v>
      </c>
      <c r="B32" s="15" t="s">
        <v>388</v>
      </c>
      <c r="C32" s="15" t="s">
        <v>389</v>
      </c>
      <c r="D32" s="15" t="str">
        <f>"0,6382"</f>
        <v>0,6382</v>
      </c>
      <c r="E32" s="17" t="s">
        <v>28</v>
      </c>
      <c r="F32" s="17" t="s">
        <v>29</v>
      </c>
      <c r="G32" s="18" t="s">
        <v>220</v>
      </c>
      <c r="H32" s="15" t="s">
        <v>905</v>
      </c>
      <c r="I32" s="15" t="s">
        <v>347</v>
      </c>
      <c r="J32" s="18"/>
      <c r="K32" s="15" t="s">
        <v>144</v>
      </c>
      <c r="L32" s="18" t="s">
        <v>579</v>
      </c>
      <c r="M32" s="18" t="s">
        <v>579</v>
      </c>
      <c r="N32" s="18"/>
      <c r="O32" s="15" t="s">
        <v>126</v>
      </c>
      <c r="P32" s="15" t="s">
        <v>127</v>
      </c>
      <c r="Q32" s="15" t="s">
        <v>390</v>
      </c>
      <c r="R32" s="18"/>
      <c r="S32" s="17" t="str">
        <f>"400,0"</f>
        <v>400,0</v>
      </c>
      <c r="T32" s="15" t="str">
        <f>"255,2800"</f>
        <v>255,2800</v>
      </c>
      <c r="U32" s="17" t="s">
        <v>391</v>
      </c>
    </row>
    <row r="33" spans="1:21">
      <c r="A33" s="17" t="s">
        <v>931</v>
      </c>
      <c r="B33" s="15" t="s">
        <v>932</v>
      </c>
      <c r="C33" s="15" t="s">
        <v>933</v>
      </c>
      <c r="D33" s="15" t="str">
        <f>"0,6230"</f>
        <v>0,6230</v>
      </c>
      <c r="E33" s="17" t="s">
        <v>28</v>
      </c>
      <c r="F33" s="17" t="s">
        <v>408</v>
      </c>
      <c r="G33" s="15" t="s">
        <v>712</v>
      </c>
      <c r="H33" s="15" t="s">
        <v>347</v>
      </c>
      <c r="I33" s="15" t="s">
        <v>340</v>
      </c>
      <c r="J33" s="18"/>
      <c r="K33" s="15" t="s">
        <v>911</v>
      </c>
      <c r="L33" s="15" t="s">
        <v>257</v>
      </c>
      <c r="M33" s="18" t="s">
        <v>135</v>
      </c>
      <c r="N33" s="18"/>
      <c r="O33" s="15" t="s">
        <v>262</v>
      </c>
      <c r="P33" s="15" t="s">
        <v>742</v>
      </c>
      <c r="Q33" s="15" t="s">
        <v>641</v>
      </c>
      <c r="R33" s="18"/>
      <c r="S33" s="17" t="str">
        <f>"367,5"</f>
        <v>367,5</v>
      </c>
      <c r="T33" s="15" t="str">
        <f>"228,9525"</f>
        <v>228,9525</v>
      </c>
      <c r="U33" s="17"/>
    </row>
    <row r="34" spans="1:21">
      <c r="A34" s="12" t="s">
        <v>934</v>
      </c>
      <c r="B34" s="13" t="s">
        <v>676</v>
      </c>
      <c r="C34" s="13" t="s">
        <v>677</v>
      </c>
      <c r="D34" s="13" t="str">
        <f>"0,6329"</f>
        <v>0,6329</v>
      </c>
      <c r="E34" s="12" t="s">
        <v>28</v>
      </c>
      <c r="F34" s="12" t="s">
        <v>167</v>
      </c>
      <c r="G34" s="13" t="s">
        <v>152</v>
      </c>
      <c r="H34" s="13" t="s">
        <v>125</v>
      </c>
      <c r="I34" s="14" t="s">
        <v>222</v>
      </c>
      <c r="J34" s="14"/>
      <c r="K34" s="13" t="s">
        <v>152</v>
      </c>
      <c r="L34" s="13" t="s">
        <v>153</v>
      </c>
      <c r="M34" s="13" t="s">
        <v>154</v>
      </c>
      <c r="N34" s="14"/>
      <c r="O34" s="13" t="s">
        <v>281</v>
      </c>
      <c r="P34" s="13" t="s">
        <v>126</v>
      </c>
      <c r="Q34" s="13" t="s">
        <v>79</v>
      </c>
      <c r="R34" s="14"/>
      <c r="S34" s="12" t="str">
        <f>"422,5"</f>
        <v>422,5</v>
      </c>
      <c r="T34" s="13" t="str">
        <f>"275,6897"</f>
        <v>275,6897</v>
      </c>
      <c r="U34" s="12"/>
    </row>
    <row r="36" spans="1:21" ht="15">
      <c r="A36" s="45" t="s">
        <v>23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1:21">
      <c r="A37" s="9" t="s">
        <v>936</v>
      </c>
      <c r="B37" s="10" t="s">
        <v>937</v>
      </c>
      <c r="C37" s="10" t="s">
        <v>938</v>
      </c>
      <c r="D37" s="10" t="str">
        <f>"0,5873"</f>
        <v>0,5873</v>
      </c>
      <c r="E37" s="9" t="s">
        <v>28</v>
      </c>
      <c r="F37" s="9" t="s">
        <v>29</v>
      </c>
      <c r="G37" s="10" t="s">
        <v>939</v>
      </c>
      <c r="H37" s="10" t="s">
        <v>291</v>
      </c>
      <c r="I37" s="10" t="s">
        <v>292</v>
      </c>
      <c r="J37" s="11"/>
      <c r="K37" s="10" t="s">
        <v>789</v>
      </c>
      <c r="L37" s="10" t="s">
        <v>126</v>
      </c>
      <c r="M37" s="10" t="s">
        <v>940</v>
      </c>
      <c r="N37" s="11"/>
      <c r="O37" s="10" t="s">
        <v>941</v>
      </c>
      <c r="P37" s="10" t="s">
        <v>277</v>
      </c>
      <c r="Q37" s="11" t="s">
        <v>942</v>
      </c>
      <c r="R37" s="11"/>
      <c r="S37" s="9" t="str">
        <f>"695,0"</f>
        <v>695,0</v>
      </c>
      <c r="T37" s="10" t="str">
        <f>"408,1735"</f>
        <v>408,1735</v>
      </c>
      <c r="U37" s="9"/>
    </row>
    <row r="38" spans="1:21">
      <c r="A38" s="17" t="s">
        <v>944</v>
      </c>
      <c r="B38" s="15" t="s">
        <v>945</v>
      </c>
      <c r="C38" s="15" t="s">
        <v>688</v>
      </c>
      <c r="D38" s="15" t="str">
        <f>"0,5918"</f>
        <v>0,5918</v>
      </c>
      <c r="E38" s="17" t="s">
        <v>946</v>
      </c>
      <c r="F38" s="17" t="s">
        <v>682</v>
      </c>
      <c r="G38" s="15" t="s">
        <v>249</v>
      </c>
      <c r="H38" s="15" t="s">
        <v>199</v>
      </c>
      <c r="I38" s="15" t="s">
        <v>200</v>
      </c>
      <c r="J38" s="18"/>
      <c r="K38" s="15" t="s">
        <v>221</v>
      </c>
      <c r="L38" s="18" t="s">
        <v>222</v>
      </c>
      <c r="M38" s="15" t="s">
        <v>222</v>
      </c>
      <c r="N38" s="18"/>
      <c r="O38" s="15" t="s">
        <v>188</v>
      </c>
      <c r="P38" s="15" t="s">
        <v>38</v>
      </c>
      <c r="Q38" s="15" t="s">
        <v>80</v>
      </c>
      <c r="R38" s="18"/>
      <c r="S38" s="17" t="str">
        <f>"495,0"</f>
        <v>495,0</v>
      </c>
      <c r="T38" s="15" t="str">
        <f>"292,9410"</f>
        <v>292,9410</v>
      </c>
      <c r="U38" s="17"/>
    </row>
    <row r="39" spans="1:21">
      <c r="A39" s="12" t="s">
        <v>726</v>
      </c>
      <c r="B39" s="13" t="s">
        <v>414</v>
      </c>
      <c r="C39" s="13" t="s">
        <v>415</v>
      </c>
      <c r="D39" s="13" t="str">
        <f>"0,5983"</f>
        <v>0,5983</v>
      </c>
      <c r="E39" s="12" t="s">
        <v>18</v>
      </c>
      <c r="F39" s="12" t="s">
        <v>29</v>
      </c>
      <c r="G39" s="13" t="s">
        <v>193</v>
      </c>
      <c r="H39" s="13" t="s">
        <v>188</v>
      </c>
      <c r="I39" s="14" t="s">
        <v>38</v>
      </c>
      <c r="J39" s="14"/>
      <c r="K39" s="13" t="s">
        <v>347</v>
      </c>
      <c r="L39" s="13" t="s">
        <v>222</v>
      </c>
      <c r="M39" s="13" t="s">
        <v>340</v>
      </c>
      <c r="N39" s="14"/>
      <c r="O39" s="13" t="s">
        <v>180</v>
      </c>
      <c r="P39" s="13" t="s">
        <v>40</v>
      </c>
      <c r="Q39" s="14" t="s">
        <v>947</v>
      </c>
      <c r="R39" s="14"/>
      <c r="S39" s="12" t="str">
        <f>"530,0"</f>
        <v>530,0</v>
      </c>
      <c r="T39" s="13" t="str">
        <f>"354,1996"</f>
        <v>354,1996</v>
      </c>
      <c r="U39" s="12"/>
    </row>
    <row r="41" spans="1:21" ht="15">
      <c r="A41" s="45" t="s">
        <v>52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1">
      <c r="A42" s="9" t="s">
        <v>949</v>
      </c>
      <c r="B42" s="10" t="s">
        <v>950</v>
      </c>
      <c r="C42" s="10" t="s">
        <v>56</v>
      </c>
      <c r="D42" s="10" t="str">
        <f>"0,5570"</f>
        <v>0,5570</v>
      </c>
      <c r="E42" s="9" t="s">
        <v>28</v>
      </c>
      <c r="F42" s="9" t="s">
        <v>29</v>
      </c>
      <c r="G42" s="10" t="s">
        <v>268</v>
      </c>
      <c r="H42" s="10" t="s">
        <v>30</v>
      </c>
      <c r="I42" s="11"/>
      <c r="J42" s="11"/>
      <c r="K42" s="11" t="s">
        <v>193</v>
      </c>
      <c r="L42" s="10" t="s">
        <v>794</v>
      </c>
      <c r="M42" s="11" t="s">
        <v>194</v>
      </c>
      <c r="N42" s="11"/>
      <c r="O42" s="10" t="s">
        <v>32</v>
      </c>
      <c r="P42" s="10" t="s">
        <v>941</v>
      </c>
      <c r="Q42" s="11"/>
      <c r="R42" s="11"/>
      <c r="S42" s="9" t="str">
        <f>"620,0"</f>
        <v>620,0</v>
      </c>
      <c r="T42" s="10" t="str">
        <f>"345,3400"</f>
        <v>345,3400</v>
      </c>
      <c r="U42" s="9"/>
    </row>
    <row r="43" spans="1:21">
      <c r="A43" s="17" t="s">
        <v>952</v>
      </c>
      <c r="B43" s="15" t="s">
        <v>953</v>
      </c>
      <c r="C43" s="15" t="s">
        <v>954</v>
      </c>
      <c r="D43" s="15" t="str">
        <f>"0,5622"</f>
        <v>0,5622</v>
      </c>
      <c r="E43" s="17" t="s">
        <v>28</v>
      </c>
      <c r="F43" s="17" t="s">
        <v>955</v>
      </c>
      <c r="G43" s="15" t="s">
        <v>49</v>
      </c>
      <c r="H43" s="18" t="s">
        <v>80</v>
      </c>
      <c r="I43" s="18" t="s">
        <v>80</v>
      </c>
      <c r="J43" s="18"/>
      <c r="K43" s="15" t="s">
        <v>222</v>
      </c>
      <c r="L43" s="15" t="s">
        <v>281</v>
      </c>
      <c r="M43" s="18" t="s">
        <v>640</v>
      </c>
      <c r="N43" s="18"/>
      <c r="O43" s="15" t="s">
        <v>79</v>
      </c>
      <c r="P43" s="15" t="s">
        <v>179</v>
      </c>
      <c r="Q43" s="15" t="s">
        <v>39</v>
      </c>
      <c r="R43" s="18"/>
      <c r="S43" s="17" t="str">
        <f>"535,0"</f>
        <v>535,0</v>
      </c>
      <c r="T43" s="15" t="str">
        <f>"300,7770"</f>
        <v>300,7770</v>
      </c>
      <c r="U43" s="17"/>
    </row>
    <row r="44" spans="1:21">
      <c r="A44" s="12" t="s">
        <v>434</v>
      </c>
      <c r="B44" s="41" t="s">
        <v>1228</v>
      </c>
      <c r="C44" s="13" t="s">
        <v>435</v>
      </c>
      <c r="D44" s="13" t="str">
        <f>"0,5648"</f>
        <v>0,5648</v>
      </c>
      <c r="E44" s="12" t="s">
        <v>28</v>
      </c>
      <c r="F44" s="12" t="s">
        <v>436</v>
      </c>
      <c r="G44" s="13" t="s">
        <v>794</v>
      </c>
      <c r="H44" s="13" t="s">
        <v>206</v>
      </c>
      <c r="I44" s="13" t="s">
        <v>268</v>
      </c>
      <c r="J44" s="14"/>
      <c r="K44" s="13" t="s">
        <v>712</v>
      </c>
      <c r="L44" s="13" t="s">
        <v>261</v>
      </c>
      <c r="M44" s="13" t="s">
        <v>639</v>
      </c>
      <c r="N44" s="14"/>
      <c r="O44" s="13" t="s">
        <v>794</v>
      </c>
      <c r="P44" s="13" t="s">
        <v>49</v>
      </c>
      <c r="Q44" s="13" t="s">
        <v>769</v>
      </c>
      <c r="R44" s="14"/>
      <c r="S44" s="12" t="str">
        <f>"537,5"</f>
        <v>537,5</v>
      </c>
      <c r="T44" s="13" t="str">
        <f>"303,5800"</f>
        <v>303,5800</v>
      </c>
      <c r="U44" s="12"/>
    </row>
    <row r="46" spans="1:21" ht="15">
      <c r="A46" s="45" t="s">
        <v>66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</row>
    <row r="47" spans="1:21">
      <c r="A47" s="9" t="s">
        <v>957</v>
      </c>
      <c r="B47" s="10" t="s">
        <v>958</v>
      </c>
      <c r="C47" s="10" t="s">
        <v>959</v>
      </c>
      <c r="D47" s="10" t="str">
        <f>"0,5439"</f>
        <v>0,5439</v>
      </c>
      <c r="E47" s="9" t="s">
        <v>28</v>
      </c>
      <c r="F47" s="9" t="s">
        <v>29</v>
      </c>
      <c r="G47" s="11" t="s">
        <v>463</v>
      </c>
      <c r="H47" s="10" t="s">
        <v>941</v>
      </c>
      <c r="I47" s="11" t="s">
        <v>116</v>
      </c>
      <c r="J47" s="11"/>
      <c r="K47" s="10" t="s">
        <v>126</v>
      </c>
      <c r="L47" s="10" t="s">
        <v>794</v>
      </c>
      <c r="M47" s="11" t="s">
        <v>194</v>
      </c>
      <c r="N47" s="11"/>
      <c r="O47" s="10" t="s">
        <v>239</v>
      </c>
      <c r="P47" s="10" t="s">
        <v>941</v>
      </c>
      <c r="Q47" s="11" t="s">
        <v>282</v>
      </c>
      <c r="R47" s="11"/>
      <c r="S47" s="9" t="str">
        <f>"650,0"</f>
        <v>650,0</v>
      </c>
      <c r="T47" s="10" t="str">
        <f>"353,5350"</f>
        <v>353,5350</v>
      </c>
      <c r="U47" s="9"/>
    </row>
    <row r="48" spans="1:21">
      <c r="A48" s="17" t="s">
        <v>961</v>
      </c>
      <c r="B48" s="15" t="s">
        <v>962</v>
      </c>
      <c r="C48" s="15" t="s">
        <v>204</v>
      </c>
      <c r="D48" s="15" t="str">
        <f>"0,5426"</f>
        <v>0,5426</v>
      </c>
      <c r="E48" s="17" t="s">
        <v>28</v>
      </c>
      <c r="F48" s="17" t="s">
        <v>29</v>
      </c>
      <c r="G48" s="15" t="s">
        <v>794</v>
      </c>
      <c r="H48" s="15" t="s">
        <v>79</v>
      </c>
      <c r="I48" s="18" t="s">
        <v>38</v>
      </c>
      <c r="J48" s="18"/>
      <c r="K48" s="15" t="s">
        <v>707</v>
      </c>
      <c r="L48" s="15" t="s">
        <v>281</v>
      </c>
      <c r="M48" s="18" t="s">
        <v>738</v>
      </c>
      <c r="N48" s="18"/>
      <c r="O48" s="15" t="s">
        <v>50</v>
      </c>
      <c r="P48" s="15" t="s">
        <v>180</v>
      </c>
      <c r="Q48" s="18" t="s">
        <v>947</v>
      </c>
      <c r="R48" s="18"/>
      <c r="S48" s="17" t="str">
        <f>"530,0"</f>
        <v>530,0</v>
      </c>
      <c r="T48" s="15" t="str">
        <f>"287,5780"</f>
        <v>287,5780</v>
      </c>
      <c r="U48" s="17"/>
    </row>
    <row r="49" spans="1:21">
      <c r="A49" s="17" t="s">
        <v>964</v>
      </c>
      <c r="B49" s="15" t="s">
        <v>965</v>
      </c>
      <c r="C49" s="15" t="s">
        <v>966</v>
      </c>
      <c r="D49" s="15" t="str">
        <f>"0,5441"</f>
        <v>0,5441</v>
      </c>
      <c r="E49" s="17" t="s">
        <v>28</v>
      </c>
      <c r="F49" s="17" t="s">
        <v>29</v>
      </c>
      <c r="G49" s="15" t="s">
        <v>162</v>
      </c>
      <c r="H49" s="15" t="s">
        <v>188</v>
      </c>
      <c r="I49" s="18" t="s">
        <v>38</v>
      </c>
      <c r="J49" s="18"/>
      <c r="K49" s="15" t="s">
        <v>639</v>
      </c>
      <c r="L49" s="15" t="s">
        <v>742</v>
      </c>
      <c r="M49" s="18" t="s">
        <v>738</v>
      </c>
      <c r="N49" s="18"/>
      <c r="O49" s="15" t="s">
        <v>176</v>
      </c>
      <c r="P49" s="15" t="s">
        <v>390</v>
      </c>
      <c r="Q49" s="15" t="s">
        <v>179</v>
      </c>
      <c r="R49" s="18"/>
      <c r="S49" s="17" t="str">
        <f>"517,5"</f>
        <v>517,5</v>
      </c>
      <c r="T49" s="15" t="str">
        <f>"281,5717"</f>
        <v>281,5717</v>
      </c>
      <c r="U49" s="17"/>
    </row>
    <row r="50" spans="1:21">
      <c r="A50" s="12" t="s">
        <v>967</v>
      </c>
      <c r="B50" s="13" t="s">
        <v>968</v>
      </c>
      <c r="C50" s="13" t="s">
        <v>966</v>
      </c>
      <c r="D50" s="13" t="str">
        <f>"0,5441"</f>
        <v>0,5441</v>
      </c>
      <c r="E50" s="12" t="s">
        <v>28</v>
      </c>
      <c r="F50" s="12" t="s">
        <v>729</v>
      </c>
      <c r="G50" s="14" t="s">
        <v>97</v>
      </c>
      <c r="H50" s="14" t="s">
        <v>97</v>
      </c>
      <c r="I50" s="14" t="s">
        <v>97</v>
      </c>
      <c r="J50" s="14"/>
      <c r="K50" s="14" t="s">
        <v>222</v>
      </c>
      <c r="L50" s="14"/>
      <c r="M50" s="14"/>
      <c r="N50" s="14"/>
      <c r="O50" s="14" t="s">
        <v>97</v>
      </c>
      <c r="P50" s="14"/>
      <c r="Q50" s="14"/>
      <c r="R50" s="14"/>
      <c r="S50" s="12" t="str">
        <f>"0.00"</f>
        <v>0.00</v>
      </c>
      <c r="T50" s="13" t="str">
        <f>"0,0000"</f>
        <v>0,0000</v>
      </c>
      <c r="U50" s="12"/>
    </row>
    <row r="52" spans="1:21" ht="15">
      <c r="A52" s="45" t="s">
        <v>74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1:21">
      <c r="A53" s="9" t="s">
        <v>444</v>
      </c>
      <c r="B53" s="10" t="s">
        <v>445</v>
      </c>
      <c r="C53" s="10" t="s">
        <v>446</v>
      </c>
      <c r="D53" s="10" t="str">
        <f>"0,5303"</f>
        <v>0,5303</v>
      </c>
      <c r="E53" s="9" t="s">
        <v>28</v>
      </c>
      <c r="F53" s="9" t="s">
        <v>29</v>
      </c>
      <c r="G53" s="10" t="s">
        <v>385</v>
      </c>
      <c r="H53" s="10" t="s">
        <v>176</v>
      </c>
      <c r="I53" s="11" t="s">
        <v>38</v>
      </c>
      <c r="J53" s="11"/>
      <c r="K53" s="10" t="s">
        <v>886</v>
      </c>
      <c r="L53" s="10" t="s">
        <v>575</v>
      </c>
      <c r="M53" s="11" t="s">
        <v>325</v>
      </c>
      <c r="N53" s="11"/>
      <c r="O53" s="10" t="s">
        <v>161</v>
      </c>
      <c r="P53" s="10" t="s">
        <v>176</v>
      </c>
      <c r="Q53" s="11" t="s">
        <v>38</v>
      </c>
      <c r="R53" s="11"/>
      <c r="S53" s="9" t="str">
        <f>"432,5"</f>
        <v>432,5</v>
      </c>
      <c r="T53" s="10" t="str">
        <f>"229,3548"</f>
        <v>229,3548</v>
      </c>
      <c r="U53" s="9"/>
    </row>
    <row r="54" spans="1:21">
      <c r="A54" s="17" t="s">
        <v>448</v>
      </c>
      <c r="B54" s="15" t="s">
        <v>449</v>
      </c>
      <c r="C54" s="15" t="s">
        <v>78</v>
      </c>
      <c r="D54" s="15" t="str">
        <f>"0,5305"</f>
        <v>0,5305</v>
      </c>
      <c r="E54" s="17" t="s">
        <v>28</v>
      </c>
      <c r="F54" s="17" t="s">
        <v>450</v>
      </c>
      <c r="G54" s="15" t="s">
        <v>290</v>
      </c>
      <c r="H54" s="15" t="s">
        <v>71</v>
      </c>
      <c r="I54" s="18" t="s">
        <v>282</v>
      </c>
      <c r="J54" s="18"/>
      <c r="K54" s="15" t="s">
        <v>126</v>
      </c>
      <c r="L54" s="15" t="s">
        <v>794</v>
      </c>
      <c r="M54" s="18" t="s">
        <v>194</v>
      </c>
      <c r="N54" s="18"/>
      <c r="O54" s="15" t="s">
        <v>290</v>
      </c>
      <c r="P54" s="18" t="s">
        <v>116</v>
      </c>
      <c r="Q54" s="18"/>
      <c r="R54" s="18"/>
      <c r="S54" s="17" t="str">
        <f>"680,0"</f>
        <v>680,0</v>
      </c>
      <c r="T54" s="15" t="str">
        <f>"360,7400"</f>
        <v>360,7400</v>
      </c>
      <c r="U54" s="17"/>
    </row>
    <row r="55" spans="1:21">
      <c r="A55" s="12" t="s">
        <v>448</v>
      </c>
      <c r="B55" s="13" t="s">
        <v>969</v>
      </c>
      <c r="C55" s="13" t="s">
        <v>78</v>
      </c>
      <c r="D55" s="13" t="str">
        <f>"0,5305"</f>
        <v>0,5305</v>
      </c>
      <c r="E55" s="12" t="s">
        <v>28</v>
      </c>
      <c r="F55" s="12" t="s">
        <v>450</v>
      </c>
      <c r="G55" s="13" t="s">
        <v>290</v>
      </c>
      <c r="H55" s="13" t="s">
        <v>71</v>
      </c>
      <c r="I55" s="14" t="s">
        <v>282</v>
      </c>
      <c r="J55" s="14"/>
      <c r="K55" s="13" t="s">
        <v>126</v>
      </c>
      <c r="L55" s="13" t="s">
        <v>794</v>
      </c>
      <c r="M55" s="14" t="s">
        <v>194</v>
      </c>
      <c r="N55" s="14"/>
      <c r="O55" s="13" t="s">
        <v>290</v>
      </c>
      <c r="P55" s="14" t="s">
        <v>116</v>
      </c>
      <c r="Q55" s="14"/>
      <c r="R55" s="14"/>
      <c r="S55" s="12" t="str">
        <f>"680,0"</f>
        <v>680,0</v>
      </c>
      <c r="T55" s="13" t="str">
        <f>"360,7400"</f>
        <v>360,7400</v>
      </c>
      <c r="U55" s="12"/>
    </row>
    <row r="57" spans="1:21">
      <c r="E57" s="31" t="s">
        <v>1095</v>
      </c>
    </row>
    <row r="58" spans="1:21">
      <c r="E58" s="31" t="s">
        <v>1240</v>
      </c>
    </row>
    <row r="59" spans="1:21">
      <c r="E59" s="31" t="s">
        <v>1096</v>
      </c>
    </row>
    <row r="60" spans="1:21">
      <c r="E60" s="31" t="s">
        <v>1241</v>
      </c>
    </row>
    <row r="61" spans="1:21">
      <c r="E61" s="31" t="s">
        <v>1097</v>
      </c>
    </row>
    <row r="65" spans="1:5" ht="18">
      <c r="A65" s="21" t="s">
        <v>81</v>
      </c>
      <c r="B65" s="22"/>
    </row>
    <row r="66" spans="1:5" ht="15">
      <c r="A66" s="23" t="s">
        <v>229</v>
      </c>
      <c r="B66" s="24"/>
    </row>
    <row r="67" spans="1:5" ht="14.25">
      <c r="A67" s="26"/>
      <c r="B67" s="27" t="s">
        <v>295</v>
      </c>
    </row>
    <row r="68" spans="1:5" ht="15">
      <c r="A68" s="28" t="s">
        <v>0</v>
      </c>
      <c r="B68" s="28" t="s">
        <v>84</v>
      </c>
      <c r="C68" s="28" t="s">
        <v>85</v>
      </c>
      <c r="D68" s="28" t="s">
        <v>86</v>
      </c>
      <c r="E68" s="28" t="s">
        <v>11</v>
      </c>
    </row>
    <row r="69" spans="1:5">
      <c r="A69" s="25" t="s">
        <v>882</v>
      </c>
      <c r="B69" s="5" t="s">
        <v>486</v>
      </c>
      <c r="C69" s="5" t="s">
        <v>814</v>
      </c>
      <c r="D69" s="5" t="s">
        <v>862</v>
      </c>
      <c r="E69" s="29" t="s">
        <v>970</v>
      </c>
    </row>
    <row r="71" spans="1:5" ht="14.25">
      <c r="A71" s="26"/>
      <c r="B71" s="27" t="s">
        <v>83</v>
      </c>
    </row>
    <row r="72" spans="1:5" ht="15">
      <c r="A72" s="28" t="s">
        <v>0</v>
      </c>
      <c r="B72" s="28" t="s">
        <v>84</v>
      </c>
      <c r="C72" s="28" t="s">
        <v>85</v>
      </c>
      <c r="D72" s="28" t="s">
        <v>86</v>
      </c>
      <c r="E72" s="28" t="s">
        <v>11</v>
      </c>
    </row>
    <row r="73" spans="1:5">
      <c r="A73" s="25" t="s">
        <v>875</v>
      </c>
      <c r="B73" s="5" t="s">
        <v>83</v>
      </c>
      <c r="C73" s="5" t="s">
        <v>477</v>
      </c>
      <c r="D73" s="5" t="s">
        <v>71</v>
      </c>
      <c r="E73" s="29" t="s">
        <v>971</v>
      </c>
    </row>
    <row r="74" spans="1:5">
      <c r="A74" s="25" t="s">
        <v>901</v>
      </c>
      <c r="B74" s="5" t="s">
        <v>83</v>
      </c>
      <c r="C74" s="5" t="s">
        <v>87</v>
      </c>
      <c r="D74" s="5" t="s">
        <v>972</v>
      </c>
      <c r="E74" s="29" t="s">
        <v>973</v>
      </c>
    </row>
    <row r="75" spans="1:5">
      <c r="A75" s="25" t="s">
        <v>890</v>
      </c>
      <c r="B75" s="5" t="s">
        <v>83</v>
      </c>
      <c r="C75" s="5" t="s">
        <v>232</v>
      </c>
      <c r="D75" s="5" t="s">
        <v>778</v>
      </c>
      <c r="E75" s="29" t="s">
        <v>974</v>
      </c>
    </row>
    <row r="77" spans="1:5" ht="14.25">
      <c r="A77" s="26"/>
      <c r="B77" s="27" t="s">
        <v>102</v>
      </c>
    </row>
    <row r="78" spans="1:5" ht="15">
      <c r="A78" s="28" t="s">
        <v>0</v>
      </c>
      <c r="B78" s="28" t="s">
        <v>84</v>
      </c>
      <c r="C78" s="28" t="s">
        <v>85</v>
      </c>
      <c r="D78" s="28" t="s">
        <v>86</v>
      </c>
      <c r="E78" s="28" t="s">
        <v>11</v>
      </c>
    </row>
    <row r="79" spans="1:5">
      <c r="A79" s="25" t="s">
        <v>897</v>
      </c>
      <c r="B79" s="5" t="s">
        <v>117</v>
      </c>
      <c r="C79" s="5" t="s">
        <v>232</v>
      </c>
      <c r="D79" s="5" t="s">
        <v>284</v>
      </c>
      <c r="E79" s="29" t="s">
        <v>975</v>
      </c>
    </row>
    <row r="82" spans="1:5" ht="15">
      <c r="A82" s="23" t="s">
        <v>82</v>
      </c>
      <c r="B82" s="24"/>
    </row>
    <row r="83" spans="1:5" ht="14.25">
      <c r="A83" s="26"/>
      <c r="B83" s="27" t="s">
        <v>976</v>
      </c>
    </row>
    <row r="84" spans="1:5" ht="15">
      <c r="A84" s="28" t="s">
        <v>0</v>
      </c>
      <c r="B84" s="28" t="s">
        <v>84</v>
      </c>
      <c r="C84" s="28" t="s">
        <v>85</v>
      </c>
      <c r="D84" s="28" t="s">
        <v>86</v>
      </c>
      <c r="E84" s="28" t="s">
        <v>11</v>
      </c>
    </row>
    <row r="85" spans="1:5">
      <c r="A85" s="25" t="s">
        <v>907</v>
      </c>
      <c r="B85" s="5" t="s">
        <v>977</v>
      </c>
      <c r="C85" s="5" t="s">
        <v>232</v>
      </c>
      <c r="D85" s="5" t="s">
        <v>207</v>
      </c>
      <c r="E85" s="29" t="s">
        <v>978</v>
      </c>
    </row>
    <row r="87" spans="1:5" ht="14.25">
      <c r="A87" s="26"/>
      <c r="B87" s="27" t="s">
        <v>295</v>
      </c>
    </row>
    <row r="88" spans="1:5" ht="15">
      <c r="A88" s="28" t="s">
        <v>0</v>
      </c>
      <c r="B88" s="28" t="s">
        <v>84</v>
      </c>
      <c r="C88" s="28" t="s">
        <v>85</v>
      </c>
      <c r="D88" s="28" t="s">
        <v>86</v>
      </c>
      <c r="E88" s="28" t="s">
        <v>11</v>
      </c>
    </row>
    <row r="89" spans="1:5">
      <c r="A89" s="25" t="s">
        <v>355</v>
      </c>
      <c r="B89" s="5" t="s">
        <v>469</v>
      </c>
      <c r="C89" s="5" t="s">
        <v>234</v>
      </c>
      <c r="D89" s="5" t="s">
        <v>979</v>
      </c>
      <c r="E89" s="29" t="s">
        <v>980</v>
      </c>
    </row>
    <row r="90" spans="1:5">
      <c r="A90" s="25" t="s">
        <v>443</v>
      </c>
      <c r="B90" s="5" t="s">
        <v>486</v>
      </c>
      <c r="C90" s="5" t="s">
        <v>106</v>
      </c>
      <c r="D90" s="5" t="s">
        <v>981</v>
      </c>
      <c r="E90" s="29" t="s">
        <v>982</v>
      </c>
    </row>
    <row r="92" spans="1:5" ht="14.25">
      <c r="A92" s="26"/>
      <c r="B92" s="27" t="s">
        <v>471</v>
      </c>
    </row>
    <row r="93" spans="1:5" ht="15">
      <c r="A93" s="28" t="s">
        <v>0</v>
      </c>
      <c r="B93" s="28" t="s">
        <v>84</v>
      </c>
      <c r="C93" s="28" t="s">
        <v>85</v>
      </c>
      <c r="D93" s="28" t="s">
        <v>86</v>
      </c>
      <c r="E93" s="28" t="s">
        <v>11</v>
      </c>
    </row>
    <row r="94" spans="1:5">
      <c r="A94" s="25" t="s">
        <v>925</v>
      </c>
      <c r="B94" s="5" t="s">
        <v>472</v>
      </c>
      <c r="C94" s="5" t="s">
        <v>87</v>
      </c>
      <c r="D94" s="5" t="s">
        <v>983</v>
      </c>
      <c r="E94" s="29" t="s">
        <v>984</v>
      </c>
    </row>
    <row r="95" spans="1:5">
      <c r="A95" s="25" t="s">
        <v>447</v>
      </c>
      <c r="B95" s="5" t="s">
        <v>472</v>
      </c>
      <c r="C95" s="5" t="s">
        <v>106</v>
      </c>
      <c r="D95" s="5" t="s">
        <v>985</v>
      </c>
      <c r="E95" s="29" t="s">
        <v>986</v>
      </c>
    </row>
    <row r="96" spans="1:5">
      <c r="A96" s="25" t="s">
        <v>386</v>
      </c>
      <c r="B96" s="5" t="s">
        <v>472</v>
      </c>
      <c r="C96" s="5" t="s">
        <v>87</v>
      </c>
      <c r="D96" s="5" t="s">
        <v>987</v>
      </c>
      <c r="E96" s="29" t="s">
        <v>988</v>
      </c>
    </row>
    <row r="98" spans="1:5" ht="14.25">
      <c r="A98" s="26"/>
      <c r="B98" s="27" t="s">
        <v>83</v>
      </c>
    </row>
    <row r="99" spans="1:5" ht="15">
      <c r="A99" s="28" t="s">
        <v>0</v>
      </c>
      <c r="B99" s="28" t="s">
        <v>84</v>
      </c>
      <c r="C99" s="28" t="s">
        <v>85</v>
      </c>
      <c r="D99" s="28" t="s">
        <v>86</v>
      </c>
      <c r="E99" s="28" t="s">
        <v>11</v>
      </c>
    </row>
    <row r="100" spans="1:5">
      <c r="A100" s="25" t="s">
        <v>935</v>
      </c>
      <c r="B100" s="5" t="s">
        <v>83</v>
      </c>
      <c r="C100" s="5" t="s">
        <v>96</v>
      </c>
      <c r="D100" s="5" t="s">
        <v>989</v>
      </c>
      <c r="E100" s="29" t="s">
        <v>990</v>
      </c>
    </row>
    <row r="101" spans="1:5">
      <c r="A101" s="25" t="s">
        <v>447</v>
      </c>
      <c r="B101" s="5" t="s">
        <v>83</v>
      </c>
      <c r="C101" s="5" t="s">
        <v>106</v>
      </c>
      <c r="D101" s="5" t="s">
        <v>985</v>
      </c>
      <c r="E101" s="29" t="s">
        <v>986</v>
      </c>
    </row>
    <row r="102" spans="1:5">
      <c r="A102" s="25" t="s">
        <v>913</v>
      </c>
      <c r="B102" s="5" t="s">
        <v>83</v>
      </c>
      <c r="C102" s="5" t="s">
        <v>241</v>
      </c>
      <c r="D102" s="5" t="s">
        <v>991</v>
      </c>
      <c r="E102" s="29" t="s">
        <v>992</v>
      </c>
    </row>
    <row r="103" spans="1:5">
      <c r="A103" s="25" t="s">
        <v>956</v>
      </c>
      <c r="B103" s="5" t="s">
        <v>83</v>
      </c>
      <c r="C103" s="5" t="s">
        <v>93</v>
      </c>
      <c r="D103" s="5" t="s">
        <v>993</v>
      </c>
      <c r="E103" s="29" t="s">
        <v>994</v>
      </c>
    </row>
    <row r="104" spans="1:5">
      <c r="A104" s="25" t="s">
        <v>948</v>
      </c>
      <c r="B104" s="5" t="s">
        <v>83</v>
      </c>
      <c r="C104" s="5" t="s">
        <v>89</v>
      </c>
      <c r="D104" s="5" t="s">
        <v>995</v>
      </c>
      <c r="E104" s="29" t="s">
        <v>996</v>
      </c>
    </row>
    <row r="105" spans="1:5">
      <c r="A105" s="25" t="s">
        <v>917</v>
      </c>
      <c r="B105" s="5" t="s">
        <v>83</v>
      </c>
      <c r="C105" s="5" t="s">
        <v>241</v>
      </c>
      <c r="D105" s="5" t="s">
        <v>997</v>
      </c>
      <c r="E105" s="29" t="s">
        <v>998</v>
      </c>
    </row>
    <row r="106" spans="1:5">
      <c r="A106" s="25" t="s">
        <v>951</v>
      </c>
      <c r="B106" s="5" t="s">
        <v>83</v>
      </c>
      <c r="C106" s="5" t="s">
        <v>89</v>
      </c>
      <c r="D106" s="5" t="s">
        <v>999</v>
      </c>
      <c r="E106" s="29" t="s">
        <v>1000</v>
      </c>
    </row>
    <row r="107" spans="1:5">
      <c r="A107" s="25" t="s">
        <v>374</v>
      </c>
      <c r="B107" s="5" t="s">
        <v>83</v>
      </c>
      <c r="C107" s="5" t="s">
        <v>241</v>
      </c>
      <c r="D107" s="5" t="s">
        <v>1001</v>
      </c>
      <c r="E107" s="29" t="s">
        <v>1002</v>
      </c>
    </row>
    <row r="108" spans="1:5">
      <c r="A108" s="25" t="s">
        <v>943</v>
      </c>
      <c r="B108" s="5" t="s">
        <v>83</v>
      </c>
      <c r="C108" s="5" t="s">
        <v>96</v>
      </c>
      <c r="D108" s="5" t="s">
        <v>1003</v>
      </c>
      <c r="E108" s="29" t="s">
        <v>1004</v>
      </c>
    </row>
    <row r="109" spans="1:5">
      <c r="A109" s="25" t="s">
        <v>960</v>
      </c>
      <c r="B109" s="5" t="s">
        <v>83</v>
      </c>
      <c r="C109" s="5" t="s">
        <v>93</v>
      </c>
      <c r="D109" s="5" t="s">
        <v>991</v>
      </c>
      <c r="E109" s="29" t="s">
        <v>1005</v>
      </c>
    </row>
    <row r="110" spans="1:5">
      <c r="A110" s="25" t="s">
        <v>963</v>
      </c>
      <c r="B110" s="5" t="s">
        <v>83</v>
      </c>
      <c r="C110" s="5" t="s">
        <v>93</v>
      </c>
      <c r="D110" s="5" t="s">
        <v>1006</v>
      </c>
      <c r="E110" s="29" t="s">
        <v>1007</v>
      </c>
    </row>
    <row r="111" spans="1:5">
      <c r="A111" s="25" t="s">
        <v>930</v>
      </c>
      <c r="B111" s="5" t="s">
        <v>83</v>
      </c>
      <c r="C111" s="5" t="s">
        <v>87</v>
      </c>
      <c r="D111" s="5" t="s">
        <v>1008</v>
      </c>
      <c r="E111" s="29" t="s">
        <v>1009</v>
      </c>
    </row>
    <row r="113" spans="1:5" ht="14.25">
      <c r="A113" s="26"/>
      <c r="B113" s="27" t="s">
        <v>100</v>
      </c>
    </row>
    <row r="114" spans="1:5" ht="15">
      <c r="A114" s="28" t="s">
        <v>0</v>
      </c>
      <c r="B114" s="28" t="s">
        <v>84</v>
      </c>
      <c r="C114" s="28" t="s">
        <v>85</v>
      </c>
      <c r="D114" s="28" t="s">
        <v>86</v>
      </c>
      <c r="E114" s="28" t="s">
        <v>11</v>
      </c>
    </row>
    <row r="115" spans="1:5">
      <c r="A115" s="25" t="s">
        <v>433</v>
      </c>
      <c r="B115" s="42" t="s">
        <v>1229</v>
      </c>
      <c r="C115" s="5" t="s">
        <v>89</v>
      </c>
      <c r="D115" s="5" t="s">
        <v>1010</v>
      </c>
      <c r="E115" s="29" t="s">
        <v>1011</v>
      </c>
    </row>
    <row r="117" spans="1:5" ht="14.25">
      <c r="A117" s="26"/>
      <c r="B117" s="27" t="s">
        <v>102</v>
      </c>
    </row>
    <row r="118" spans="1:5" ht="15">
      <c r="A118" s="28" t="s">
        <v>0</v>
      </c>
      <c r="B118" s="28" t="s">
        <v>84</v>
      </c>
      <c r="C118" s="28" t="s">
        <v>85</v>
      </c>
      <c r="D118" s="28" t="s">
        <v>86</v>
      </c>
      <c r="E118" s="28" t="s">
        <v>11</v>
      </c>
    </row>
    <row r="119" spans="1:5">
      <c r="A119" s="25" t="s">
        <v>412</v>
      </c>
      <c r="B119" s="5" t="s">
        <v>252</v>
      </c>
      <c r="C119" s="5" t="s">
        <v>96</v>
      </c>
      <c r="D119" s="5" t="s">
        <v>991</v>
      </c>
      <c r="E119" s="29" t="s">
        <v>1012</v>
      </c>
    </row>
    <row r="120" spans="1:5">
      <c r="A120" s="25" t="s">
        <v>580</v>
      </c>
      <c r="B120" s="5" t="s">
        <v>252</v>
      </c>
      <c r="C120" s="5" t="s">
        <v>241</v>
      </c>
      <c r="D120" s="5" t="s">
        <v>1013</v>
      </c>
      <c r="E120" s="29" t="s">
        <v>1014</v>
      </c>
    </row>
    <row r="121" spans="1:5">
      <c r="A121" s="25" t="s">
        <v>674</v>
      </c>
      <c r="B121" s="5" t="s">
        <v>248</v>
      </c>
      <c r="C121" s="5" t="s">
        <v>87</v>
      </c>
      <c r="D121" s="5" t="s">
        <v>1015</v>
      </c>
      <c r="E121" s="29" t="s">
        <v>1016</v>
      </c>
    </row>
  </sheetData>
  <mergeCells count="25"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  <mergeCell ref="A41:T41"/>
    <mergeCell ref="A46:T46"/>
    <mergeCell ref="A52:T52"/>
    <mergeCell ref="A15:T15"/>
    <mergeCell ref="A18:T18"/>
    <mergeCell ref="A21:T21"/>
    <mergeCell ref="A24:T24"/>
    <mergeCell ref="A30:T30"/>
    <mergeCell ref="A36:T3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4"/>
  <sheetViews>
    <sheetView topLeftCell="A92" workbookViewId="0">
      <selection activeCell="E106" sqref="E106:F110"/>
    </sheetView>
  </sheetViews>
  <sheetFormatPr defaultRowHeight="12.75"/>
  <cols>
    <col min="1" max="1" width="27" style="4" bestFit="1" customWidth="1"/>
    <col min="2" max="2" width="30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18.140625" style="4" bestFit="1" customWidth="1"/>
    <col min="7" max="7" width="6.5703125" style="5" bestFit="1" customWidth="1"/>
    <col min="8" max="8" width="6.5703125" style="5" customWidth="1"/>
    <col min="9" max="9" width="6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54" t="s">
        <v>1102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.1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0</v>
      </c>
      <c r="B3" s="62" t="s">
        <v>10</v>
      </c>
      <c r="C3" s="62" t="s">
        <v>8</v>
      </c>
      <c r="D3" s="48" t="s">
        <v>11</v>
      </c>
      <c r="E3" s="48" t="s">
        <v>1</v>
      </c>
      <c r="F3" s="63" t="s">
        <v>12</v>
      </c>
      <c r="G3" s="60" t="s">
        <v>3</v>
      </c>
      <c r="H3" s="48"/>
      <c r="I3" s="48"/>
      <c r="J3" s="50"/>
      <c r="K3" s="46" t="s">
        <v>108</v>
      </c>
      <c r="L3" s="48" t="s">
        <v>6</v>
      </c>
      <c r="M3" s="50" t="s">
        <v>5</v>
      </c>
    </row>
    <row r="4" spans="1:13" s="1" customFormat="1" ht="23.25" customHeight="1" thickBot="1">
      <c r="A4" s="61"/>
      <c r="B4" s="49"/>
      <c r="C4" s="49"/>
      <c r="D4" s="49"/>
      <c r="E4" s="49"/>
      <c r="F4" s="64"/>
      <c r="G4" s="6">
        <v>1</v>
      </c>
      <c r="H4" s="7">
        <v>2</v>
      </c>
      <c r="I4" s="7">
        <v>3</v>
      </c>
      <c r="J4" s="8" t="s">
        <v>7</v>
      </c>
      <c r="K4" s="47"/>
      <c r="L4" s="49"/>
      <c r="M4" s="51"/>
    </row>
    <row r="5" spans="1:13" s="5" customFormat="1" ht="15">
      <c r="A5" s="52" t="s">
        <v>510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4"/>
    </row>
    <row r="6" spans="1:13" s="5" customFormat="1">
      <c r="A6" s="19" t="s">
        <v>512</v>
      </c>
      <c r="B6" s="16" t="s">
        <v>513</v>
      </c>
      <c r="C6" s="16" t="s">
        <v>514</v>
      </c>
      <c r="D6" s="16" t="str">
        <f>"1,1241"</f>
        <v>1,1241</v>
      </c>
      <c r="E6" s="19" t="s">
        <v>28</v>
      </c>
      <c r="F6" s="19" t="s">
        <v>29</v>
      </c>
      <c r="G6" s="16" t="s">
        <v>515</v>
      </c>
      <c r="H6" s="20" t="s">
        <v>516</v>
      </c>
      <c r="I6" s="20" t="s">
        <v>516</v>
      </c>
      <c r="J6" s="20"/>
      <c r="K6" s="19" t="str">
        <f>"45,0"</f>
        <v>45,0</v>
      </c>
      <c r="L6" s="16" t="str">
        <f>"50,5845"</f>
        <v>50,5845</v>
      </c>
      <c r="M6" s="19"/>
    </row>
    <row r="7" spans="1:13" s="5" customFormat="1">
      <c r="A7" s="4"/>
      <c r="E7" s="4"/>
      <c r="F7" s="4"/>
      <c r="K7" s="4"/>
      <c r="M7" s="4"/>
    </row>
    <row r="8" spans="1:13" ht="15">
      <c r="A8" s="45" t="s">
        <v>315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3">
      <c r="A9" s="9" t="s">
        <v>518</v>
      </c>
      <c r="B9" s="10" t="s">
        <v>519</v>
      </c>
      <c r="C9" s="10" t="s">
        <v>520</v>
      </c>
      <c r="D9" s="10" t="str">
        <f>"0,9952"</f>
        <v>0,9952</v>
      </c>
      <c r="E9" s="9" t="s">
        <v>219</v>
      </c>
      <c r="F9" s="9" t="s">
        <v>29</v>
      </c>
      <c r="G9" s="11" t="s">
        <v>521</v>
      </c>
      <c r="H9" s="10" t="s">
        <v>522</v>
      </c>
      <c r="I9" s="11" t="s">
        <v>523</v>
      </c>
      <c r="J9" s="11"/>
      <c r="K9" s="9" t="str">
        <f>"45,0"</f>
        <v>45,0</v>
      </c>
      <c r="L9" s="10" t="str">
        <f>"44,7840"</f>
        <v>44,7840</v>
      </c>
      <c r="M9" s="9"/>
    </row>
    <row r="10" spans="1:13">
      <c r="A10" s="12" t="s">
        <v>525</v>
      </c>
      <c r="B10" s="13" t="s">
        <v>526</v>
      </c>
      <c r="C10" s="13" t="s">
        <v>527</v>
      </c>
      <c r="D10" s="13" t="str">
        <f>"0,9747"</f>
        <v>0,9747</v>
      </c>
      <c r="E10" s="12" t="s">
        <v>28</v>
      </c>
      <c r="F10" s="12" t="s">
        <v>19</v>
      </c>
      <c r="G10" s="13" t="s">
        <v>528</v>
      </c>
      <c r="H10" s="13" t="s">
        <v>529</v>
      </c>
      <c r="I10" s="13" t="s">
        <v>530</v>
      </c>
      <c r="J10" s="14"/>
      <c r="K10" s="12" t="str">
        <f>"62,5"</f>
        <v>62,5</v>
      </c>
      <c r="L10" s="13" t="str">
        <f>"60,9187"</f>
        <v>60,9187</v>
      </c>
      <c r="M10" s="12"/>
    </row>
    <row r="12" spans="1:13" ht="15">
      <c r="A12" s="45" t="s">
        <v>531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3">
      <c r="A13" s="9" t="s">
        <v>533</v>
      </c>
      <c r="B13" s="10" t="s">
        <v>534</v>
      </c>
      <c r="C13" s="10" t="s">
        <v>535</v>
      </c>
      <c r="D13" s="10" t="str">
        <f>"0,9477"</f>
        <v>0,9477</v>
      </c>
      <c r="E13" s="9" t="s">
        <v>28</v>
      </c>
      <c r="F13" s="9" t="s">
        <v>29</v>
      </c>
      <c r="G13" s="10" t="s">
        <v>515</v>
      </c>
      <c r="H13" s="11" t="s">
        <v>523</v>
      </c>
      <c r="I13" s="11" t="s">
        <v>523</v>
      </c>
      <c r="J13" s="11"/>
      <c r="K13" s="9" t="str">
        <f>"45,0"</f>
        <v>45,0</v>
      </c>
      <c r="L13" s="10" t="str">
        <f>"42,6465"</f>
        <v>42,6465</v>
      </c>
      <c r="M13" s="9"/>
    </row>
    <row r="14" spans="1:13">
      <c r="A14" s="12" t="s">
        <v>537</v>
      </c>
      <c r="B14" s="13" t="s">
        <v>538</v>
      </c>
      <c r="C14" s="13" t="s">
        <v>539</v>
      </c>
      <c r="D14" s="13" t="str">
        <f>"0,9249"</f>
        <v>0,9249</v>
      </c>
      <c r="E14" s="12" t="s">
        <v>28</v>
      </c>
      <c r="F14" s="12" t="s">
        <v>540</v>
      </c>
      <c r="G14" s="13" t="s">
        <v>530</v>
      </c>
      <c r="H14" s="13" t="s">
        <v>541</v>
      </c>
      <c r="I14" s="14" t="s">
        <v>542</v>
      </c>
      <c r="J14" s="14"/>
      <c r="K14" s="12" t="str">
        <f>"65,0"</f>
        <v>65,0</v>
      </c>
      <c r="L14" s="13" t="str">
        <f>"60,1185"</f>
        <v>60,1185</v>
      </c>
      <c r="M14" s="12"/>
    </row>
    <row r="16" spans="1:13" ht="15">
      <c r="A16" s="45" t="s">
        <v>130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3">
      <c r="A17" s="9" t="s">
        <v>544</v>
      </c>
      <c r="B17" s="10" t="s">
        <v>545</v>
      </c>
      <c r="C17" s="10" t="s">
        <v>546</v>
      </c>
      <c r="D17" s="10" t="str">
        <f>"0,8725"</f>
        <v>0,8725</v>
      </c>
      <c r="E17" s="9" t="s">
        <v>28</v>
      </c>
      <c r="F17" s="9" t="s">
        <v>384</v>
      </c>
      <c r="G17" s="10" t="s">
        <v>547</v>
      </c>
      <c r="H17" s="11" t="s">
        <v>548</v>
      </c>
      <c r="I17" s="11" t="s">
        <v>548</v>
      </c>
      <c r="J17" s="11"/>
      <c r="K17" s="9" t="str">
        <f>"52,5"</f>
        <v>52,5</v>
      </c>
      <c r="L17" s="10" t="str">
        <f>"45,8063"</f>
        <v>45,8063</v>
      </c>
      <c r="M17" s="9"/>
    </row>
    <row r="18" spans="1:13">
      <c r="A18" s="12" t="s">
        <v>550</v>
      </c>
      <c r="B18" s="13" t="s">
        <v>551</v>
      </c>
      <c r="C18" s="13" t="s">
        <v>552</v>
      </c>
      <c r="D18" s="13" t="str">
        <f>"0,8763"</f>
        <v>0,8763</v>
      </c>
      <c r="E18" s="12" t="s">
        <v>28</v>
      </c>
      <c r="F18" s="12" t="s">
        <v>29</v>
      </c>
      <c r="G18" s="13" t="s">
        <v>516</v>
      </c>
      <c r="H18" s="14" t="s">
        <v>553</v>
      </c>
      <c r="I18" s="14" t="s">
        <v>548</v>
      </c>
      <c r="J18" s="14"/>
      <c r="K18" s="12" t="str">
        <f>"47,5"</f>
        <v>47,5</v>
      </c>
      <c r="L18" s="13" t="str">
        <f>"44,4963"</f>
        <v>44,4963</v>
      </c>
      <c r="M18" s="12"/>
    </row>
    <row r="20" spans="1:13" ht="15">
      <c r="A20" s="45" t="s">
        <v>137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3">
      <c r="A21" s="9" t="s">
        <v>555</v>
      </c>
      <c r="B21" s="10" t="s">
        <v>556</v>
      </c>
      <c r="C21" s="10" t="s">
        <v>557</v>
      </c>
      <c r="D21" s="10" t="str">
        <f>"0,8105"</f>
        <v>0,8105</v>
      </c>
      <c r="E21" s="9" t="s">
        <v>28</v>
      </c>
      <c r="F21" s="9" t="s">
        <v>384</v>
      </c>
      <c r="G21" s="10" t="s">
        <v>558</v>
      </c>
      <c r="H21" s="10" t="s">
        <v>529</v>
      </c>
      <c r="I21" s="10" t="s">
        <v>541</v>
      </c>
      <c r="J21" s="11"/>
      <c r="K21" s="9" t="str">
        <f>"65,0"</f>
        <v>65,0</v>
      </c>
      <c r="L21" s="10" t="str">
        <f>"52,6825"</f>
        <v>52,6825</v>
      </c>
      <c r="M21" s="9"/>
    </row>
    <row r="22" spans="1:13">
      <c r="A22" s="17" t="s">
        <v>560</v>
      </c>
      <c r="B22" s="15" t="s">
        <v>561</v>
      </c>
      <c r="C22" s="15" t="s">
        <v>562</v>
      </c>
      <c r="D22" s="15" t="str">
        <f>"0,8224"</f>
        <v>0,8224</v>
      </c>
      <c r="E22" s="17" t="s">
        <v>18</v>
      </c>
      <c r="F22" s="17" t="s">
        <v>29</v>
      </c>
      <c r="G22" s="15" t="s">
        <v>257</v>
      </c>
      <c r="H22" s="15" t="s">
        <v>135</v>
      </c>
      <c r="I22" s="15" t="s">
        <v>325</v>
      </c>
      <c r="J22" s="18"/>
      <c r="K22" s="17" t="str">
        <f>"90,0"</f>
        <v>90,0</v>
      </c>
      <c r="L22" s="15" t="str">
        <f>"74,0160"</f>
        <v>74,0160</v>
      </c>
      <c r="M22" s="17"/>
    </row>
    <row r="23" spans="1:13">
      <c r="A23" s="12" t="s">
        <v>560</v>
      </c>
      <c r="B23" s="41" t="s">
        <v>1230</v>
      </c>
      <c r="C23" s="13" t="s">
        <v>562</v>
      </c>
      <c r="D23" s="13" t="str">
        <f>"0,8224"</f>
        <v>0,8224</v>
      </c>
      <c r="E23" s="12" t="s">
        <v>18</v>
      </c>
      <c r="F23" s="12" t="s">
        <v>29</v>
      </c>
      <c r="G23" s="13" t="s">
        <v>257</v>
      </c>
      <c r="H23" s="13" t="s">
        <v>135</v>
      </c>
      <c r="I23" s="13" t="s">
        <v>325</v>
      </c>
      <c r="J23" s="14"/>
      <c r="K23" s="12" t="str">
        <f>"90,0"</f>
        <v>90,0</v>
      </c>
      <c r="L23" s="13" t="str">
        <f>"74,0160"</f>
        <v>74,0160</v>
      </c>
      <c r="M23" s="12"/>
    </row>
    <row r="25" spans="1:13" ht="15">
      <c r="A25" s="45" t="s">
        <v>155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3">
      <c r="A26" s="9" t="s">
        <v>342</v>
      </c>
      <c r="B26" s="10" t="s">
        <v>343</v>
      </c>
      <c r="C26" s="10" t="s">
        <v>344</v>
      </c>
      <c r="D26" s="10" t="str">
        <f>"0,7301"</f>
        <v>0,7301</v>
      </c>
      <c r="E26" s="9" t="s">
        <v>28</v>
      </c>
      <c r="F26" s="9" t="s">
        <v>29</v>
      </c>
      <c r="G26" s="10" t="s">
        <v>259</v>
      </c>
      <c r="H26" s="11" t="s">
        <v>563</v>
      </c>
      <c r="I26" s="10" t="s">
        <v>558</v>
      </c>
      <c r="J26" s="11"/>
      <c r="K26" s="9" t="str">
        <f>"55,0"</f>
        <v>55,0</v>
      </c>
      <c r="L26" s="10" t="str">
        <f>"40,1555"</f>
        <v>40,1555</v>
      </c>
      <c r="M26" s="9"/>
    </row>
    <row r="27" spans="1:13">
      <c r="A27" s="12" t="s">
        <v>565</v>
      </c>
      <c r="B27" s="13" t="s">
        <v>566</v>
      </c>
      <c r="C27" s="13" t="s">
        <v>567</v>
      </c>
      <c r="D27" s="13" t="str">
        <f>"0,7394"</f>
        <v>0,7394</v>
      </c>
      <c r="E27" s="12" t="s">
        <v>28</v>
      </c>
      <c r="F27" s="12" t="s">
        <v>29</v>
      </c>
      <c r="G27" s="13" t="s">
        <v>568</v>
      </c>
      <c r="H27" s="13" t="s">
        <v>547</v>
      </c>
      <c r="I27" s="14" t="s">
        <v>563</v>
      </c>
      <c r="J27" s="14"/>
      <c r="K27" s="12" t="str">
        <f>"52,5"</f>
        <v>52,5</v>
      </c>
      <c r="L27" s="13" t="str">
        <f>"39,5172"</f>
        <v>39,5172</v>
      </c>
      <c r="M27" s="12"/>
    </row>
    <row r="29" spans="1:13" ht="15">
      <c r="A29" s="45" t="s">
        <v>137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3">
      <c r="A30" s="9" t="s">
        <v>570</v>
      </c>
      <c r="B30" s="10" t="s">
        <v>571</v>
      </c>
      <c r="C30" s="10" t="s">
        <v>572</v>
      </c>
      <c r="D30" s="10" t="str">
        <f>"0,7625"</f>
        <v>0,7625</v>
      </c>
      <c r="E30" s="9" t="s">
        <v>28</v>
      </c>
      <c r="F30" s="9" t="s">
        <v>29</v>
      </c>
      <c r="G30" s="10" t="s">
        <v>573</v>
      </c>
      <c r="H30" s="10" t="s">
        <v>574</v>
      </c>
      <c r="I30" s="10" t="s">
        <v>575</v>
      </c>
      <c r="J30" s="11"/>
      <c r="K30" s="9" t="str">
        <f>"82,5"</f>
        <v>82,5</v>
      </c>
      <c r="L30" s="10" t="str">
        <f>"62,9062"</f>
        <v>62,9062</v>
      </c>
      <c r="M30" s="9"/>
    </row>
    <row r="31" spans="1:13">
      <c r="A31" s="17" t="s">
        <v>577</v>
      </c>
      <c r="B31" s="15" t="s">
        <v>578</v>
      </c>
      <c r="C31" s="15" t="s">
        <v>333</v>
      </c>
      <c r="D31" s="15" t="str">
        <f>"0,7297"</f>
        <v>0,7297</v>
      </c>
      <c r="E31" s="17" t="s">
        <v>28</v>
      </c>
      <c r="F31" s="17" t="s">
        <v>29</v>
      </c>
      <c r="G31" s="18" t="s">
        <v>579</v>
      </c>
      <c r="H31" s="18" t="s">
        <v>579</v>
      </c>
      <c r="I31" s="15" t="s">
        <v>313</v>
      </c>
      <c r="J31" s="18"/>
      <c r="K31" s="17" t="str">
        <f>"105,0"</f>
        <v>105,0</v>
      </c>
      <c r="L31" s="15" t="str">
        <f>"76,6185"</f>
        <v>76,6185</v>
      </c>
      <c r="M31" s="17"/>
    </row>
    <row r="32" spans="1:13">
      <c r="A32" s="17" t="s">
        <v>581</v>
      </c>
      <c r="B32" s="15" t="s">
        <v>582</v>
      </c>
      <c r="C32" s="15" t="s">
        <v>583</v>
      </c>
      <c r="D32" s="15" t="str">
        <f>"0,7439"</f>
        <v>0,7439</v>
      </c>
      <c r="E32" s="17" t="s">
        <v>28</v>
      </c>
      <c r="F32" s="17" t="s">
        <v>29</v>
      </c>
      <c r="G32" s="18" t="s">
        <v>478</v>
      </c>
      <c r="H32" s="15" t="s">
        <v>314</v>
      </c>
      <c r="I32" s="15" t="s">
        <v>152</v>
      </c>
      <c r="J32" s="18"/>
      <c r="K32" s="17" t="str">
        <f>"110,0"</f>
        <v>110,0</v>
      </c>
      <c r="L32" s="15" t="str">
        <f>"81,8290"</f>
        <v>81,8290</v>
      </c>
      <c r="M32" s="17"/>
    </row>
    <row r="33" spans="1:13">
      <c r="A33" s="12" t="s">
        <v>584</v>
      </c>
      <c r="B33" s="13" t="s">
        <v>585</v>
      </c>
      <c r="C33" s="13" t="s">
        <v>586</v>
      </c>
      <c r="D33" s="13" t="str">
        <f>"0,7317"</f>
        <v>0,7317</v>
      </c>
      <c r="E33" s="12" t="s">
        <v>28</v>
      </c>
      <c r="F33" s="12" t="s">
        <v>29</v>
      </c>
      <c r="G33" s="14" t="s">
        <v>478</v>
      </c>
      <c r="H33" s="14" t="s">
        <v>478</v>
      </c>
      <c r="I33" s="14" t="s">
        <v>478</v>
      </c>
      <c r="J33" s="14"/>
      <c r="K33" s="12" t="str">
        <f>"0.00"</f>
        <v>0.00</v>
      </c>
      <c r="L33" s="13" t="str">
        <f>"0,0000"</f>
        <v>0,0000</v>
      </c>
      <c r="M33" s="12"/>
    </row>
    <row r="35" spans="1:13" ht="15">
      <c r="A35" s="45" t="s">
        <v>155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3">
      <c r="A36" s="9" t="s">
        <v>588</v>
      </c>
      <c r="B36" s="10" t="s">
        <v>589</v>
      </c>
      <c r="C36" s="10" t="s">
        <v>590</v>
      </c>
      <c r="D36" s="10" t="str">
        <f>"0,6805"</f>
        <v>0,6805</v>
      </c>
      <c r="E36" s="9" t="s">
        <v>28</v>
      </c>
      <c r="F36" s="9" t="s">
        <v>591</v>
      </c>
      <c r="G36" s="11" t="s">
        <v>257</v>
      </c>
      <c r="H36" s="10" t="s">
        <v>143</v>
      </c>
      <c r="I36" s="11" t="s">
        <v>325</v>
      </c>
      <c r="J36" s="11"/>
      <c r="K36" s="9" t="str">
        <f>"85,0"</f>
        <v>85,0</v>
      </c>
      <c r="L36" s="10" t="str">
        <f>"57,8425"</f>
        <v>57,8425</v>
      </c>
      <c r="M36" s="9"/>
    </row>
    <row r="37" spans="1:13">
      <c r="A37" s="17" t="s">
        <v>592</v>
      </c>
      <c r="B37" s="15" t="s">
        <v>593</v>
      </c>
      <c r="C37" s="15" t="s">
        <v>594</v>
      </c>
      <c r="D37" s="15" t="str">
        <f>"0,7230"</f>
        <v>0,7230</v>
      </c>
      <c r="E37" s="17" t="s">
        <v>28</v>
      </c>
      <c r="F37" s="17" t="s">
        <v>29</v>
      </c>
      <c r="G37" s="18" t="s">
        <v>579</v>
      </c>
      <c r="H37" s="18" t="s">
        <v>579</v>
      </c>
      <c r="I37" s="18" t="s">
        <v>579</v>
      </c>
      <c r="J37" s="18"/>
      <c r="K37" s="17" t="str">
        <f>"0.00"</f>
        <v>0.00</v>
      </c>
      <c r="L37" s="15" t="str">
        <f>"0,0000"</f>
        <v>0,0000</v>
      </c>
      <c r="M37" s="17"/>
    </row>
    <row r="38" spans="1:13">
      <c r="A38" s="17" t="s">
        <v>595</v>
      </c>
      <c r="B38" s="15" t="s">
        <v>596</v>
      </c>
      <c r="C38" s="15" t="s">
        <v>597</v>
      </c>
      <c r="D38" s="15" t="str">
        <f>"0,6760"</f>
        <v>0,6760</v>
      </c>
      <c r="E38" s="17" t="s">
        <v>28</v>
      </c>
      <c r="F38" s="17" t="s">
        <v>29</v>
      </c>
      <c r="G38" s="18" t="s">
        <v>221</v>
      </c>
      <c r="H38" s="18" t="s">
        <v>221</v>
      </c>
      <c r="I38" s="18" t="s">
        <v>221</v>
      </c>
      <c r="J38" s="18"/>
      <c r="K38" s="17" t="str">
        <f>"0.00"</f>
        <v>0.00</v>
      </c>
      <c r="L38" s="15" t="str">
        <f>"0,0000"</f>
        <v>0,0000</v>
      </c>
      <c r="M38" s="17"/>
    </row>
    <row r="39" spans="1:13">
      <c r="A39" s="17" t="s">
        <v>599</v>
      </c>
      <c r="B39" s="15" t="s">
        <v>600</v>
      </c>
      <c r="C39" s="15" t="s">
        <v>590</v>
      </c>
      <c r="D39" s="15" t="str">
        <f>"0,6805"</f>
        <v>0,6805</v>
      </c>
      <c r="E39" s="17" t="s">
        <v>28</v>
      </c>
      <c r="F39" s="17" t="s">
        <v>29</v>
      </c>
      <c r="G39" s="15" t="s">
        <v>601</v>
      </c>
      <c r="H39" s="18" t="s">
        <v>602</v>
      </c>
      <c r="I39" s="18" t="s">
        <v>602</v>
      </c>
      <c r="J39" s="18"/>
      <c r="K39" s="17" t="str">
        <f>"112,5"</f>
        <v>112,5</v>
      </c>
      <c r="L39" s="15" t="str">
        <f>"76,5562"</f>
        <v>76,5562</v>
      </c>
      <c r="M39" s="17"/>
    </row>
    <row r="40" spans="1:13">
      <c r="A40" s="17" t="s">
        <v>604</v>
      </c>
      <c r="B40" s="15" t="s">
        <v>605</v>
      </c>
      <c r="C40" s="15" t="s">
        <v>606</v>
      </c>
      <c r="D40" s="15" t="str">
        <f>"0,6859"</f>
        <v>0,6859</v>
      </c>
      <c r="E40" s="17" t="s">
        <v>28</v>
      </c>
      <c r="F40" s="17" t="s">
        <v>29</v>
      </c>
      <c r="G40" s="15" t="s">
        <v>144</v>
      </c>
      <c r="H40" s="15" t="s">
        <v>258</v>
      </c>
      <c r="I40" s="15" t="s">
        <v>579</v>
      </c>
      <c r="J40" s="18"/>
      <c r="K40" s="17" t="str">
        <f>"105,0"</f>
        <v>105,0</v>
      </c>
      <c r="L40" s="15" t="str">
        <f>"72,0195"</f>
        <v>72,0195</v>
      </c>
      <c r="M40" s="17"/>
    </row>
    <row r="41" spans="1:13">
      <c r="A41" s="17" t="s">
        <v>607</v>
      </c>
      <c r="B41" s="15" t="s">
        <v>608</v>
      </c>
      <c r="C41" s="15" t="s">
        <v>567</v>
      </c>
      <c r="D41" s="15" t="str">
        <f>"0,6828"</f>
        <v>0,6828</v>
      </c>
      <c r="E41" s="17" t="s">
        <v>28</v>
      </c>
      <c r="F41" s="17" t="s">
        <v>29</v>
      </c>
      <c r="G41" s="18" t="s">
        <v>221</v>
      </c>
      <c r="H41" s="18" t="s">
        <v>347</v>
      </c>
      <c r="I41" s="18" t="s">
        <v>347</v>
      </c>
      <c r="J41" s="18"/>
      <c r="K41" s="17" t="str">
        <f>"0.00"</f>
        <v>0.00</v>
      </c>
      <c r="L41" s="15" t="str">
        <f>"0,0000"</f>
        <v>0,0000</v>
      </c>
      <c r="M41" s="17"/>
    </row>
    <row r="42" spans="1:13">
      <c r="A42" s="17" t="s">
        <v>610</v>
      </c>
      <c r="B42" s="15" t="s">
        <v>611</v>
      </c>
      <c r="C42" s="15" t="s">
        <v>612</v>
      </c>
      <c r="D42" s="15" t="str">
        <f>"0,6737"</f>
        <v>0,6737</v>
      </c>
      <c r="E42" s="17" t="s">
        <v>28</v>
      </c>
      <c r="F42" s="17" t="s">
        <v>29</v>
      </c>
      <c r="G42" s="18" t="s">
        <v>222</v>
      </c>
      <c r="H42" s="15" t="s">
        <v>262</v>
      </c>
      <c r="I42" s="18" t="s">
        <v>340</v>
      </c>
      <c r="J42" s="18"/>
      <c r="K42" s="17" t="str">
        <f>"130,0"</f>
        <v>130,0</v>
      </c>
      <c r="L42" s="15" t="str">
        <f>"87,5810"</f>
        <v>87,5810</v>
      </c>
      <c r="M42" s="17"/>
    </row>
    <row r="43" spans="1:13">
      <c r="A43" s="17" t="s">
        <v>614</v>
      </c>
      <c r="B43" s="15" t="s">
        <v>615</v>
      </c>
      <c r="C43" s="15" t="s">
        <v>616</v>
      </c>
      <c r="D43" s="15" t="str">
        <f>"0,6752"</f>
        <v>0,6752</v>
      </c>
      <c r="E43" s="17" t="s">
        <v>28</v>
      </c>
      <c r="F43" s="17" t="s">
        <v>441</v>
      </c>
      <c r="G43" s="15" t="s">
        <v>261</v>
      </c>
      <c r="H43" s="18" t="s">
        <v>340</v>
      </c>
      <c r="I43" s="18" t="s">
        <v>340</v>
      </c>
      <c r="J43" s="18"/>
      <c r="K43" s="17" t="str">
        <f>"125,0"</f>
        <v>125,0</v>
      </c>
      <c r="L43" s="15" t="str">
        <f>"84,4000"</f>
        <v>84,4000</v>
      </c>
      <c r="M43" s="17"/>
    </row>
    <row r="44" spans="1:13">
      <c r="A44" s="17" t="s">
        <v>617</v>
      </c>
      <c r="B44" s="15" t="s">
        <v>618</v>
      </c>
      <c r="C44" s="15" t="s">
        <v>619</v>
      </c>
      <c r="D44" s="15" t="str">
        <f>"0,6767"</f>
        <v>0,6767</v>
      </c>
      <c r="E44" s="17" t="s">
        <v>620</v>
      </c>
      <c r="F44" s="17" t="s">
        <v>19</v>
      </c>
      <c r="G44" s="15" t="s">
        <v>602</v>
      </c>
      <c r="H44" s="18" t="s">
        <v>347</v>
      </c>
      <c r="I44" s="18" t="s">
        <v>347</v>
      </c>
      <c r="J44" s="18"/>
      <c r="K44" s="17" t="str">
        <f>"117,5"</f>
        <v>117,5</v>
      </c>
      <c r="L44" s="15" t="str">
        <f>"79,5122"</f>
        <v>79,5122</v>
      </c>
      <c r="M44" s="17"/>
    </row>
    <row r="45" spans="1:13">
      <c r="A45" s="17" t="s">
        <v>621</v>
      </c>
      <c r="B45" s="15" t="s">
        <v>622</v>
      </c>
      <c r="C45" s="15" t="s">
        <v>623</v>
      </c>
      <c r="D45" s="15" t="str">
        <f>"0,6701"</f>
        <v>0,6701</v>
      </c>
      <c r="E45" s="17" t="s">
        <v>28</v>
      </c>
      <c r="F45" s="17" t="s">
        <v>29</v>
      </c>
      <c r="G45" s="15" t="s">
        <v>152</v>
      </c>
      <c r="H45" s="15" t="s">
        <v>602</v>
      </c>
      <c r="I45" s="18" t="s">
        <v>347</v>
      </c>
      <c r="J45" s="18"/>
      <c r="K45" s="17" t="str">
        <f>"117,5"</f>
        <v>117,5</v>
      </c>
      <c r="L45" s="15" t="str">
        <f>"78,7367"</f>
        <v>78,7367</v>
      </c>
      <c r="M45" s="17"/>
    </row>
    <row r="46" spans="1:13">
      <c r="A46" s="12" t="s">
        <v>625</v>
      </c>
      <c r="B46" s="13" t="s">
        <v>626</v>
      </c>
      <c r="C46" s="13" t="s">
        <v>344</v>
      </c>
      <c r="D46" s="13" t="str">
        <f>"0,6730"</f>
        <v>0,6730</v>
      </c>
      <c r="E46" s="12" t="s">
        <v>28</v>
      </c>
      <c r="F46" s="12" t="s">
        <v>29</v>
      </c>
      <c r="G46" s="13" t="s">
        <v>153</v>
      </c>
      <c r="H46" s="13" t="s">
        <v>125</v>
      </c>
      <c r="I46" s="14" t="s">
        <v>230</v>
      </c>
      <c r="J46" s="14"/>
      <c r="K46" s="12" t="str">
        <f>"120,0"</f>
        <v>120,0</v>
      </c>
      <c r="L46" s="13" t="str">
        <f>"92,3894"</f>
        <v>92,3894</v>
      </c>
      <c r="M46" s="12"/>
    </row>
    <row r="48" spans="1:13" ht="15">
      <c r="A48" s="45" t="s">
        <v>13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3">
      <c r="A49" s="17" t="s">
        <v>629</v>
      </c>
      <c r="B49" s="15" t="s">
        <v>630</v>
      </c>
      <c r="C49" s="15" t="s">
        <v>631</v>
      </c>
      <c r="D49" s="15" t="str">
        <f>"0,6245"</f>
        <v>0,6245</v>
      </c>
      <c r="E49" s="17" t="s">
        <v>28</v>
      </c>
      <c r="F49" s="17" t="s">
        <v>29</v>
      </c>
      <c r="G49" s="15" t="s">
        <v>169</v>
      </c>
      <c r="H49" s="15" t="s">
        <v>385</v>
      </c>
      <c r="I49" s="18" t="s">
        <v>199</v>
      </c>
      <c r="J49" s="18"/>
      <c r="K49" s="17" t="str">
        <f>"155,0"</f>
        <v>155,0</v>
      </c>
      <c r="L49" s="15" t="str">
        <f>"96,7975"</f>
        <v>96,7975</v>
      </c>
      <c r="M49" s="17"/>
    </row>
    <row r="50" spans="1:13">
      <c r="A50" s="17" t="s">
        <v>633</v>
      </c>
      <c r="B50" s="15" t="s">
        <v>634</v>
      </c>
      <c r="C50" s="15" t="s">
        <v>389</v>
      </c>
      <c r="D50" s="15" t="str">
        <f>"0,6382"</f>
        <v>0,6382</v>
      </c>
      <c r="E50" s="17" t="s">
        <v>28</v>
      </c>
      <c r="F50" s="17" t="s">
        <v>29</v>
      </c>
      <c r="G50" s="15" t="s">
        <v>168</v>
      </c>
      <c r="H50" s="15" t="s">
        <v>249</v>
      </c>
      <c r="I50" s="18" t="s">
        <v>170</v>
      </c>
      <c r="J50" s="18"/>
      <c r="K50" s="17" t="str">
        <f>"150,0"</f>
        <v>150,0</v>
      </c>
      <c r="L50" s="15" t="str">
        <f>"95,7300"</f>
        <v>95,7300</v>
      </c>
      <c r="M50" s="17"/>
    </row>
    <row r="51" spans="1:13">
      <c r="A51" s="17" t="s">
        <v>636</v>
      </c>
      <c r="B51" s="15" t="s">
        <v>637</v>
      </c>
      <c r="C51" s="15" t="s">
        <v>638</v>
      </c>
      <c r="D51" s="15" t="str">
        <f>"0,6454"</f>
        <v>0,6454</v>
      </c>
      <c r="E51" s="17" t="s">
        <v>28</v>
      </c>
      <c r="F51" s="17" t="s">
        <v>37</v>
      </c>
      <c r="G51" s="15" t="s">
        <v>639</v>
      </c>
      <c r="H51" s="15" t="s">
        <v>640</v>
      </c>
      <c r="I51" s="18" t="s">
        <v>641</v>
      </c>
      <c r="J51" s="18"/>
      <c r="K51" s="17" t="str">
        <f>"145,0"</f>
        <v>145,0</v>
      </c>
      <c r="L51" s="15" t="str">
        <f>"93,5830"</f>
        <v>93,5830</v>
      </c>
      <c r="M51" s="17"/>
    </row>
    <row r="52" spans="1:13">
      <c r="A52" s="17" t="s">
        <v>643</v>
      </c>
      <c r="B52" s="15" t="s">
        <v>637</v>
      </c>
      <c r="C52" s="15" t="s">
        <v>644</v>
      </c>
      <c r="D52" s="15" t="str">
        <f>"0,6384"</f>
        <v>0,6384</v>
      </c>
      <c r="E52" s="17" t="s">
        <v>28</v>
      </c>
      <c r="F52" s="17" t="s">
        <v>29</v>
      </c>
      <c r="G52" s="18" t="s">
        <v>338</v>
      </c>
      <c r="H52" s="15" t="s">
        <v>338</v>
      </c>
      <c r="I52" s="15" t="s">
        <v>340</v>
      </c>
      <c r="J52" s="18"/>
      <c r="K52" s="17" t="str">
        <f>"135,0"</f>
        <v>135,0</v>
      </c>
      <c r="L52" s="15" t="str">
        <f>"86,1840"</f>
        <v>86,1840</v>
      </c>
      <c r="M52" s="17"/>
    </row>
    <row r="53" spans="1:13">
      <c r="A53" s="17" t="s">
        <v>646</v>
      </c>
      <c r="B53" s="15" t="s">
        <v>647</v>
      </c>
      <c r="C53" s="15" t="s">
        <v>627</v>
      </c>
      <c r="D53" s="15" t="str">
        <f>"0,6262"</f>
        <v>0,6262</v>
      </c>
      <c r="E53" s="17" t="s">
        <v>28</v>
      </c>
      <c r="F53" s="17" t="s">
        <v>29</v>
      </c>
      <c r="G53" s="15" t="s">
        <v>340</v>
      </c>
      <c r="H53" s="18" t="s">
        <v>640</v>
      </c>
      <c r="I53" s="18" t="s">
        <v>640</v>
      </c>
      <c r="J53" s="18"/>
      <c r="K53" s="17" t="str">
        <f>"135,0"</f>
        <v>135,0</v>
      </c>
      <c r="L53" s="15" t="str">
        <f>"84,5370"</f>
        <v>84,5370</v>
      </c>
      <c r="M53" s="17"/>
    </row>
    <row r="54" spans="1:13">
      <c r="A54" s="17" t="s">
        <v>649</v>
      </c>
      <c r="B54" s="15" t="s">
        <v>650</v>
      </c>
      <c r="C54" s="15" t="s">
        <v>651</v>
      </c>
      <c r="D54" s="15" t="str">
        <f>"0,6203"</f>
        <v>0,6203</v>
      </c>
      <c r="E54" s="17" t="s">
        <v>28</v>
      </c>
      <c r="F54" s="17" t="s">
        <v>29</v>
      </c>
      <c r="G54" s="18" t="s">
        <v>338</v>
      </c>
      <c r="H54" s="15" t="s">
        <v>338</v>
      </c>
      <c r="I54" s="15" t="s">
        <v>340</v>
      </c>
      <c r="J54" s="18"/>
      <c r="K54" s="17" t="str">
        <f>"135,0"</f>
        <v>135,0</v>
      </c>
      <c r="L54" s="15" t="str">
        <f>"83,7405"</f>
        <v>83,7405</v>
      </c>
      <c r="M54" s="17"/>
    </row>
    <row r="55" spans="1:13">
      <c r="A55" s="17" t="s">
        <v>653</v>
      </c>
      <c r="B55" s="15" t="s">
        <v>654</v>
      </c>
      <c r="C55" s="15" t="s">
        <v>655</v>
      </c>
      <c r="D55" s="15" t="str">
        <f>"0,6295"</f>
        <v>0,6295</v>
      </c>
      <c r="E55" s="17" t="s">
        <v>28</v>
      </c>
      <c r="F55" s="17" t="s">
        <v>29</v>
      </c>
      <c r="G55" s="15" t="s">
        <v>222</v>
      </c>
      <c r="H55" s="18" t="s">
        <v>640</v>
      </c>
      <c r="I55" s="18" t="s">
        <v>640</v>
      </c>
      <c r="J55" s="18"/>
      <c r="K55" s="17" t="str">
        <f>"130,0"</f>
        <v>130,0</v>
      </c>
      <c r="L55" s="15" t="str">
        <f>"81,8350"</f>
        <v>81,8350</v>
      </c>
      <c r="M55" s="17"/>
    </row>
    <row r="56" spans="1:13">
      <c r="A56" s="17" t="s">
        <v>657</v>
      </c>
      <c r="B56" s="15" t="s">
        <v>658</v>
      </c>
      <c r="C56" s="15" t="s">
        <v>659</v>
      </c>
      <c r="D56" s="15" t="str">
        <f>"0,6273"</f>
        <v>0,6273</v>
      </c>
      <c r="E56" s="17" t="s">
        <v>28</v>
      </c>
      <c r="F56" s="17" t="s">
        <v>29</v>
      </c>
      <c r="G56" s="15" t="s">
        <v>262</v>
      </c>
      <c r="H56" s="18" t="s">
        <v>640</v>
      </c>
      <c r="I56" s="18" t="s">
        <v>640</v>
      </c>
      <c r="J56" s="18"/>
      <c r="K56" s="17" t="str">
        <f>"130,0"</f>
        <v>130,0</v>
      </c>
      <c r="L56" s="15" t="str">
        <f>"81,5490"</f>
        <v>81,5490</v>
      </c>
      <c r="M56" s="17"/>
    </row>
    <row r="57" spans="1:13">
      <c r="A57" s="17" t="s">
        <v>661</v>
      </c>
      <c r="B57" s="15" t="s">
        <v>662</v>
      </c>
      <c r="C57" s="15" t="s">
        <v>627</v>
      </c>
      <c r="D57" s="15" t="str">
        <f>"0,6262"</f>
        <v>0,6262</v>
      </c>
      <c r="E57" s="17" t="s">
        <v>219</v>
      </c>
      <c r="F57" s="17" t="s">
        <v>29</v>
      </c>
      <c r="G57" s="15" t="s">
        <v>347</v>
      </c>
      <c r="H57" s="15" t="s">
        <v>338</v>
      </c>
      <c r="I57" s="18" t="s">
        <v>222</v>
      </c>
      <c r="J57" s="18"/>
      <c r="K57" s="17" t="str">
        <f>"127,5"</f>
        <v>127,5</v>
      </c>
      <c r="L57" s="15" t="str">
        <f>"79,8405"</f>
        <v>79,8405</v>
      </c>
      <c r="M57" s="17"/>
    </row>
    <row r="58" spans="1:13">
      <c r="A58" s="17" t="s">
        <v>664</v>
      </c>
      <c r="B58" s="15" t="s">
        <v>665</v>
      </c>
      <c r="C58" s="15" t="s">
        <v>666</v>
      </c>
      <c r="D58" s="15" t="str">
        <f>"0,6257"</f>
        <v>0,6257</v>
      </c>
      <c r="E58" s="17" t="s">
        <v>28</v>
      </c>
      <c r="F58" s="17" t="s">
        <v>29</v>
      </c>
      <c r="G58" s="18" t="s">
        <v>230</v>
      </c>
      <c r="H58" s="18" t="s">
        <v>338</v>
      </c>
      <c r="I58" s="15" t="s">
        <v>338</v>
      </c>
      <c r="J58" s="18"/>
      <c r="K58" s="17" t="str">
        <f>"127,5"</f>
        <v>127,5</v>
      </c>
      <c r="L58" s="15" t="str">
        <f>"79,7767"</f>
        <v>79,7767</v>
      </c>
      <c r="M58" s="17"/>
    </row>
    <row r="59" spans="1:13">
      <c r="A59" s="17" t="s">
        <v>667</v>
      </c>
      <c r="B59" s="15" t="s">
        <v>668</v>
      </c>
      <c r="C59" s="15" t="s">
        <v>669</v>
      </c>
      <c r="D59" s="15" t="str">
        <f>"0,6290"</f>
        <v>0,6290</v>
      </c>
      <c r="E59" s="17" t="s">
        <v>28</v>
      </c>
      <c r="F59" s="17" t="s">
        <v>29</v>
      </c>
      <c r="G59" s="18" t="s">
        <v>170</v>
      </c>
      <c r="H59" s="18" t="s">
        <v>170</v>
      </c>
      <c r="I59" s="18" t="s">
        <v>170</v>
      </c>
      <c r="J59" s="18"/>
      <c r="K59" s="17" t="str">
        <f>"0.00"</f>
        <v>0.00</v>
      </c>
      <c r="L59" s="15" t="str">
        <f>"0,0000"</f>
        <v>0,0000</v>
      </c>
      <c r="M59" s="17"/>
    </row>
    <row r="60" spans="1:13">
      <c r="A60" s="17" t="s">
        <v>671</v>
      </c>
      <c r="B60" s="15" t="s">
        <v>672</v>
      </c>
      <c r="C60" s="15" t="s">
        <v>627</v>
      </c>
      <c r="D60" s="15" t="str">
        <f>"0,6262"</f>
        <v>0,6262</v>
      </c>
      <c r="E60" s="17" t="s">
        <v>28</v>
      </c>
      <c r="F60" s="17" t="s">
        <v>673</v>
      </c>
      <c r="G60" s="15" t="s">
        <v>169</v>
      </c>
      <c r="H60" s="15" t="s">
        <v>385</v>
      </c>
      <c r="I60" s="15" t="s">
        <v>126</v>
      </c>
      <c r="J60" s="18"/>
      <c r="K60" s="17" t="str">
        <f>"160,0"</f>
        <v>160,0</v>
      </c>
      <c r="L60" s="15" t="str">
        <f>"103,2980"</f>
        <v>103,2980</v>
      </c>
      <c r="M60" s="17"/>
    </row>
    <row r="61" spans="1:13">
      <c r="A61" s="17" t="s">
        <v>675</v>
      </c>
      <c r="B61" s="15" t="s">
        <v>676</v>
      </c>
      <c r="C61" s="15" t="s">
        <v>677</v>
      </c>
      <c r="D61" s="15" t="str">
        <f>"0,6329"</f>
        <v>0,6329</v>
      </c>
      <c r="E61" s="17" t="s">
        <v>28</v>
      </c>
      <c r="F61" s="17" t="s">
        <v>167</v>
      </c>
      <c r="G61" s="15" t="s">
        <v>220</v>
      </c>
      <c r="H61" s="15" t="s">
        <v>602</v>
      </c>
      <c r="I61" s="15" t="s">
        <v>230</v>
      </c>
      <c r="J61" s="18"/>
      <c r="K61" s="17" t="str">
        <f>"122,5"</f>
        <v>122,5</v>
      </c>
      <c r="L61" s="15" t="str">
        <f>"79,9337"</f>
        <v>79,9337</v>
      </c>
      <c r="M61" s="17"/>
    </row>
    <row r="62" spans="1:13">
      <c r="A62" s="12" t="s">
        <v>679</v>
      </c>
      <c r="B62" s="13" t="s">
        <v>680</v>
      </c>
      <c r="C62" s="13" t="s">
        <v>659</v>
      </c>
      <c r="D62" s="13" t="str">
        <f>"0,6273"</f>
        <v>0,6273</v>
      </c>
      <c r="E62" s="12" t="s">
        <v>681</v>
      </c>
      <c r="F62" s="12" t="s">
        <v>682</v>
      </c>
      <c r="G62" s="13" t="s">
        <v>683</v>
      </c>
      <c r="H62" s="13" t="s">
        <v>258</v>
      </c>
      <c r="I62" s="13" t="s">
        <v>684</v>
      </c>
      <c r="J62" s="14"/>
      <c r="K62" s="12" t="str">
        <f>"102,5"</f>
        <v>102,5</v>
      </c>
      <c r="L62" s="13" t="str">
        <f>"71,8211"</f>
        <v>71,8211</v>
      </c>
      <c r="M62" s="12"/>
    </row>
    <row r="64" spans="1:13" ht="15">
      <c r="A64" s="45" t="s">
        <v>23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3">
      <c r="A65" s="9" t="s">
        <v>686</v>
      </c>
      <c r="B65" s="10" t="s">
        <v>687</v>
      </c>
      <c r="C65" s="10" t="s">
        <v>688</v>
      </c>
      <c r="D65" s="10" t="str">
        <f>"0,5918"</f>
        <v>0,5918</v>
      </c>
      <c r="E65" s="9" t="s">
        <v>28</v>
      </c>
      <c r="F65" s="9" t="s">
        <v>29</v>
      </c>
      <c r="G65" s="10" t="s">
        <v>125</v>
      </c>
      <c r="H65" s="10" t="s">
        <v>689</v>
      </c>
      <c r="I65" s="11" t="s">
        <v>276</v>
      </c>
      <c r="J65" s="11"/>
      <c r="K65" s="9" t="str">
        <f>"132,5"</f>
        <v>132,5</v>
      </c>
      <c r="L65" s="10" t="str">
        <f>"78,4135"</f>
        <v>78,4135</v>
      </c>
      <c r="M65" s="9"/>
    </row>
    <row r="66" spans="1:13">
      <c r="A66" s="17" t="s">
        <v>691</v>
      </c>
      <c r="B66" s="15" t="s">
        <v>692</v>
      </c>
      <c r="C66" s="15" t="s">
        <v>693</v>
      </c>
      <c r="D66" s="15" t="str">
        <f>"0,5869"</f>
        <v>0,5869</v>
      </c>
      <c r="E66" s="17" t="s">
        <v>28</v>
      </c>
      <c r="F66" s="17" t="s">
        <v>29</v>
      </c>
      <c r="G66" s="15" t="s">
        <v>689</v>
      </c>
      <c r="H66" s="18" t="s">
        <v>640</v>
      </c>
      <c r="I66" s="15" t="s">
        <v>168</v>
      </c>
      <c r="J66" s="18"/>
      <c r="K66" s="17" t="str">
        <f>"145,0"</f>
        <v>145,0</v>
      </c>
      <c r="L66" s="15" t="str">
        <f>"85,1005"</f>
        <v>85,1005</v>
      </c>
      <c r="M66" s="17"/>
    </row>
    <row r="67" spans="1:13">
      <c r="A67" s="17" t="s">
        <v>695</v>
      </c>
      <c r="B67" s="15" t="s">
        <v>696</v>
      </c>
      <c r="C67" s="15" t="s">
        <v>697</v>
      </c>
      <c r="D67" s="15" t="str">
        <f>"0,6009"</f>
        <v>0,6009</v>
      </c>
      <c r="E67" s="17" t="s">
        <v>28</v>
      </c>
      <c r="F67" s="17" t="s">
        <v>29</v>
      </c>
      <c r="G67" s="15" t="s">
        <v>698</v>
      </c>
      <c r="H67" s="18" t="s">
        <v>641</v>
      </c>
      <c r="I67" s="18" t="s">
        <v>641</v>
      </c>
      <c r="J67" s="18"/>
      <c r="K67" s="17" t="str">
        <f>"142,5"</f>
        <v>142,5</v>
      </c>
      <c r="L67" s="15" t="str">
        <f>"85,6282"</f>
        <v>85,6282</v>
      </c>
      <c r="M67" s="17"/>
    </row>
    <row r="68" spans="1:13">
      <c r="A68" s="17" t="s">
        <v>700</v>
      </c>
      <c r="B68" s="15" t="s">
        <v>701</v>
      </c>
      <c r="C68" s="15" t="s">
        <v>702</v>
      </c>
      <c r="D68" s="15" t="str">
        <f>"0,5901"</f>
        <v>0,5901</v>
      </c>
      <c r="E68" s="17" t="s">
        <v>28</v>
      </c>
      <c r="F68" s="17" t="s">
        <v>29</v>
      </c>
      <c r="G68" s="15" t="s">
        <v>281</v>
      </c>
      <c r="H68" s="18" t="s">
        <v>641</v>
      </c>
      <c r="I68" s="18" t="s">
        <v>641</v>
      </c>
      <c r="J68" s="18"/>
      <c r="K68" s="17" t="str">
        <f>"140,0"</f>
        <v>140,0</v>
      </c>
      <c r="L68" s="15" t="str">
        <f>"82,6140"</f>
        <v>82,6140</v>
      </c>
      <c r="M68" s="17"/>
    </row>
    <row r="69" spans="1:13">
      <c r="A69" s="17" t="s">
        <v>704</v>
      </c>
      <c r="B69" s="15" t="s">
        <v>705</v>
      </c>
      <c r="C69" s="15" t="s">
        <v>706</v>
      </c>
      <c r="D69" s="15" t="str">
        <f>"0,6027"</f>
        <v>0,6027</v>
      </c>
      <c r="E69" s="17" t="s">
        <v>28</v>
      </c>
      <c r="F69" s="17" t="s">
        <v>29</v>
      </c>
      <c r="G69" s="18" t="s">
        <v>230</v>
      </c>
      <c r="H69" s="15" t="s">
        <v>707</v>
      </c>
      <c r="I69" s="18" t="s">
        <v>708</v>
      </c>
      <c r="J69" s="18"/>
      <c r="K69" s="17" t="str">
        <f>"132,5"</f>
        <v>132,5</v>
      </c>
      <c r="L69" s="15" t="str">
        <f>"79,8577"</f>
        <v>79,8577</v>
      </c>
      <c r="M69" s="17"/>
    </row>
    <row r="70" spans="1:13">
      <c r="A70" s="17" t="s">
        <v>709</v>
      </c>
      <c r="B70" s="15" t="s">
        <v>710</v>
      </c>
      <c r="C70" s="15" t="s">
        <v>711</v>
      </c>
      <c r="D70" s="15" t="str">
        <f>"0,6093"</f>
        <v>0,6093</v>
      </c>
      <c r="E70" s="17" t="s">
        <v>28</v>
      </c>
      <c r="F70" s="17" t="s">
        <v>29</v>
      </c>
      <c r="G70" s="15" t="s">
        <v>712</v>
      </c>
      <c r="H70" s="15" t="s">
        <v>221</v>
      </c>
      <c r="I70" s="15" t="s">
        <v>347</v>
      </c>
      <c r="J70" s="18"/>
      <c r="K70" s="17" t="str">
        <f>"125,0"</f>
        <v>125,0</v>
      </c>
      <c r="L70" s="15" t="str">
        <f>"76,1625"</f>
        <v>76,1625</v>
      </c>
      <c r="M70" s="17"/>
    </row>
    <row r="71" spans="1:13">
      <c r="A71" s="17" t="s">
        <v>713</v>
      </c>
      <c r="B71" s="15" t="s">
        <v>714</v>
      </c>
      <c r="C71" s="15" t="s">
        <v>715</v>
      </c>
      <c r="D71" s="15" t="str">
        <f>"0,5965"</f>
        <v>0,5965</v>
      </c>
      <c r="E71" s="17" t="s">
        <v>620</v>
      </c>
      <c r="F71" s="17" t="s">
        <v>29</v>
      </c>
      <c r="G71" s="15" t="s">
        <v>221</v>
      </c>
      <c r="H71" s="18" t="s">
        <v>707</v>
      </c>
      <c r="I71" s="18" t="s">
        <v>707</v>
      </c>
      <c r="J71" s="18"/>
      <c r="K71" s="17" t="str">
        <f>"120,0"</f>
        <v>120,0</v>
      </c>
      <c r="L71" s="15" t="str">
        <f>"71,5800"</f>
        <v>71,5800</v>
      </c>
      <c r="M71" s="17"/>
    </row>
    <row r="72" spans="1:13">
      <c r="A72" s="17" t="s">
        <v>716</v>
      </c>
      <c r="B72" s="15" t="s">
        <v>717</v>
      </c>
      <c r="C72" s="15" t="s">
        <v>419</v>
      </c>
      <c r="D72" s="15" t="str">
        <f>"0,5960"</f>
        <v>0,5960</v>
      </c>
      <c r="E72" s="17" t="s">
        <v>28</v>
      </c>
      <c r="F72" s="17" t="s">
        <v>718</v>
      </c>
      <c r="G72" s="18" t="s">
        <v>641</v>
      </c>
      <c r="H72" s="18" t="s">
        <v>641</v>
      </c>
      <c r="I72" s="18" t="s">
        <v>641</v>
      </c>
      <c r="J72" s="18"/>
      <c r="K72" s="17" t="str">
        <f>"0.00"</f>
        <v>0.00</v>
      </c>
      <c r="L72" s="15" t="str">
        <f>"0,0000"</f>
        <v>0,0000</v>
      </c>
      <c r="M72" s="17"/>
    </row>
    <row r="73" spans="1:13">
      <c r="A73" s="17" t="s">
        <v>720</v>
      </c>
      <c r="B73" s="15" t="s">
        <v>721</v>
      </c>
      <c r="C73" s="15" t="s">
        <v>722</v>
      </c>
      <c r="D73" s="15" t="str">
        <f>"0,5926"</f>
        <v>0,5926</v>
      </c>
      <c r="E73" s="17" t="s">
        <v>28</v>
      </c>
      <c r="F73" s="17" t="s">
        <v>19</v>
      </c>
      <c r="G73" s="18" t="s">
        <v>221</v>
      </c>
      <c r="H73" s="18" t="s">
        <v>707</v>
      </c>
      <c r="I73" s="18" t="s">
        <v>707</v>
      </c>
      <c r="J73" s="18"/>
      <c r="K73" s="17" t="str">
        <f>"0.00"</f>
        <v>0.00</v>
      </c>
      <c r="L73" s="15" t="str">
        <f>"0,0000"</f>
        <v>0,0000</v>
      </c>
      <c r="M73" s="17"/>
    </row>
    <row r="74" spans="1:13">
      <c r="A74" s="17" t="s">
        <v>723</v>
      </c>
      <c r="B74" s="15" t="s">
        <v>724</v>
      </c>
      <c r="C74" s="15" t="s">
        <v>725</v>
      </c>
      <c r="D74" s="15" t="str">
        <f>"0,5885"</f>
        <v>0,5885</v>
      </c>
      <c r="E74" s="17" t="s">
        <v>28</v>
      </c>
      <c r="F74" s="17" t="s">
        <v>29</v>
      </c>
      <c r="G74" s="18" t="s">
        <v>276</v>
      </c>
      <c r="H74" s="18" t="s">
        <v>276</v>
      </c>
      <c r="I74" s="18" t="s">
        <v>276</v>
      </c>
      <c r="J74" s="18"/>
      <c r="K74" s="17" t="str">
        <f>"0.00"</f>
        <v>0.00</v>
      </c>
      <c r="L74" s="15" t="str">
        <f>"0,0000"</f>
        <v>0,0000</v>
      </c>
      <c r="M74" s="17"/>
    </row>
    <row r="75" spans="1:13">
      <c r="A75" s="17" t="s">
        <v>726</v>
      </c>
      <c r="B75" s="15" t="s">
        <v>414</v>
      </c>
      <c r="C75" s="15" t="s">
        <v>415</v>
      </c>
      <c r="D75" s="15" t="str">
        <f>"0,5983"</f>
        <v>0,5983</v>
      </c>
      <c r="E75" s="17" t="s">
        <v>18</v>
      </c>
      <c r="F75" s="17" t="s">
        <v>29</v>
      </c>
      <c r="G75" s="15" t="s">
        <v>347</v>
      </c>
      <c r="H75" s="15" t="s">
        <v>222</v>
      </c>
      <c r="I75" s="15" t="s">
        <v>340</v>
      </c>
      <c r="J75" s="18"/>
      <c r="K75" s="17" t="str">
        <f>"135,0"</f>
        <v>135,0</v>
      </c>
      <c r="L75" s="15" t="str">
        <f>"90,2206"</f>
        <v>90,2206</v>
      </c>
      <c r="M75" s="17"/>
    </row>
    <row r="76" spans="1:13">
      <c r="A76" s="12" t="s">
        <v>727</v>
      </c>
      <c r="B76" s="13" t="s">
        <v>728</v>
      </c>
      <c r="C76" s="13" t="s">
        <v>43</v>
      </c>
      <c r="D76" s="13" t="str">
        <f>"0,5986"</f>
        <v>0,5986</v>
      </c>
      <c r="E76" s="12" t="s">
        <v>28</v>
      </c>
      <c r="F76" s="12" t="s">
        <v>729</v>
      </c>
      <c r="G76" s="14" t="s">
        <v>640</v>
      </c>
      <c r="H76" s="14" t="s">
        <v>640</v>
      </c>
      <c r="I76" s="14" t="s">
        <v>640</v>
      </c>
      <c r="J76" s="14"/>
      <c r="K76" s="12" t="str">
        <f>"0.00"</f>
        <v>0.00</v>
      </c>
      <c r="L76" s="13" t="str">
        <f>"0,0000"</f>
        <v>0,0000</v>
      </c>
      <c r="M76" s="12"/>
    </row>
    <row r="78" spans="1:13" ht="15">
      <c r="A78" s="45" t="s">
        <v>52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</row>
    <row r="79" spans="1:13">
      <c r="A79" s="9" t="s">
        <v>731</v>
      </c>
      <c r="B79" s="10" t="s">
        <v>732</v>
      </c>
      <c r="C79" s="10" t="s">
        <v>733</v>
      </c>
      <c r="D79" s="10" t="str">
        <f>"0,5560"</f>
        <v>0,5560</v>
      </c>
      <c r="E79" s="9" t="s">
        <v>28</v>
      </c>
      <c r="F79" s="9" t="s">
        <v>29</v>
      </c>
      <c r="G79" s="10" t="s">
        <v>160</v>
      </c>
      <c r="H79" s="11" t="s">
        <v>187</v>
      </c>
      <c r="I79" s="10" t="s">
        <v>187</v>
      </c>
      <c r="J79" s="11"/>
      <c r="K79" s="9" t="str">
        <f>"162,5"</f>
        <v>162,5</v>
      </c>
      <c r="L79" s="10" t="str">
        <f>"90,3500"</f>
        <v>90,3500</v>
      </c>
      <c r="M79" s="9"/>
    </row>
    <row r="80" spans="1:13">
      <c r="A80" s="17" t="s">
        <v>735</v>
      </c>
      <c r="B80" s="15" t="s">
        <v>736</v>
      </c>
      <c r="C80" s="15" t="s">
        <v>737</v>
      </c>
      <c r="D80" s="15" t="str">
        <f>"0,5657"</f>
        <v>0,5657</v>
      </c>
      <c r="E80" s="17" t="s">
        <v>28</v>
      </c>
      <c r="F80" s="17" t="s">
        <v>29</v>
      </c>
      <c r="G80" s="15" t="s">
        <v>281</v>
      </c>
      <c r="H80" s="18" t="s">
        <v>738</v>
      </c>
      <c r="I80" s="15" t="s">
        <v>169</v>
      </c>
      <c r="J80" s="18"/>
      <c r="K80" s="17" t="str">
        <f>"150,0"</f>
        <v>150,0</v>
      </c>
      <c r="L80" s="15" t="str">
        <f>"84,8550"</f>
        <v>84,8550</v>
      </c>
      <c r="M80" s="17"/>
    </row>
    <row r="81" spans="1:13">
      <c r="A81" s="17" t="s">
        <v>739</v>
      </c>
      <c r="B81" s="15" t="s">
        <v>740</v>
      </c>
      <c r="C81" s="15" t="s">
        <v>737</v>
      </c>
      <c r="D81" s="15" t="str">
        <f>"0,5657"</f>
        <v>0,5657</v>
      </c>
      <c r="E81" s="17" t="s">
        <v>28</v>
      </c>
      <c r="F81" s="17" t="s">
        <v>29</v>
      </c>
      <c r="G81" s="15" t="s">
        <v>741</v>
      </c>
      <c r="H81" s="18" t="s">
        <v>742</v>
      </c>
      <c r="I81" s="18" t="s">
        <v>742</v>
      </c>
      <c r="J81" s="18"/>
      <c r="K81" s="17" t="str">
        <f>"137,5"</f>
        <v>137,5</v>
      </c>
      <c r="L81" s="15" t="str">
        <f>"77,7837"</f>
        <v>77,7837</v>
      </c>
      <c r="M81" s="17"/>
    </row>
    <row r="82" spans="1:13">
      <c r="A82" s="17" t="s">
        <v>743</v>
      </c>
      <c r="B82" s="15" t="s">
        <v>744</v>
      </c>
      <c r="C82" s="15" t="s">
        <v>745</v>
      </c>
      <c r="D82" s="15" t="str">
        <f>"0,5597"</f>
        <v>0,5597</v>
      </c>
      <c r="E82" s="17" t="s">
        <v>28</v>
      </c>
      <c r="F82" s="17" t="s">
        <v>29</v>
      </c>
      <c r="G82" s="15" t="s">
        <v>262</v>
      </c>
      <c r="H82" s="18" t="s">
        <v>276</v>
      </c>
      <c r="I82" s="18" t="s">
        <v>276</v>
      </c>
      <c r="J82" s="18"/>
      <c r="K82" s="17" t="str">
        <f>"130,0"</f>
        <v>130,0</v>
      </c>
      <c r="L82" s="15" t="str">
        <f>"72,7610"</f>
        <v>72,7610</v>
      </c>
      <c r="M82" s="17"/>
    </row>
    <row r="83" spans="1:13">
      <c r="A83" s="17" t="s">
        <v>747</v>
      </c>
      <c r="B83" s="15" t="s">
        <v>748</v>
      </c>
      <c r="C83" s="15" t="s">
        <v>749</v>
      </c>
      <c r="D83" s="15" t="str">
        <f>"0,5589"</f>
        <v>0,5589</v>
      </c>
      <c r="E83" s="17" t="s">
        <v>28</v>
      </c>
      <c r="F83" s="17" t="s">
        <v>167</v>
      </c>
      <c r="G83" s="15" t="s">
        <v>385</v>
      </c>
      <c r="H83" s="15" t="s">
        <v>161</v>
      </c>
      <c r="I83" s="15" t="s">
        <v>162</v>
      </c>
      <c r="J83" s="18"/>
      <c r="K83" s="17" t="str">
        <f>"165,0"</f>
        <v>165,0</v>
      </c>
      <c r="L83" s="15" t="str">
        <f>"92,4952"</f>
        <v>92,4952</v>
      </c>
      <c r="M83" s="17"/>
    </row>
    <row r="84" spans="1:13">
      <c r="A84" s="17" t="s">
        <v>751</v>
      </c>
      <c r="B84" s="15" t="s">
        <v>752</v>
      </c>
      <c r="C84" s="15" t="s">
        <v>753</v>
      </c>
      <c r="D84" s="15" t="str">
        <f>"0,5714"</f>
        <v>0,5714</v>
      </c>
      <c r="E84" s="17" t="s">
        <v>28</v>
      </c>
      <c r="F84" s="17" t="s">
        <v>754</v>
      </c>
      <c r="G84" s="15" t="s">
        <v>281</v>
      </c>
      <c r="H84" s="18" t="s">
        <v>249</v>
      </c>
      <c r="I84" s="18" t="s">
        <v>249</v>
      </c>
      <c r="J84" s="18"/>
      <c r="K84" s="17" t="str">
        <f>"140,0"</f>
        <v>140,0</v>
      </c>
      <c r="L84" s="15" t="str">
        <f>"83,8358"</f>
        <v>83,8358</v>
      </c>
      <c r="M84" s="17"/>
    </row>
    <row r="85" spans="1:13">
      <c r="A85" s="17" t="s">
        <v>756</v>
      </c>
      <c r="B85" s="15" t="s">
        <v>757</v>
      </c>
      <c r="C85" s="15" t="s">
        <v>758</v>
      </c>
      <c r="D85" s="15" t="str">
        <f>"0,5578"</f>
        <v>0,5578</v>
      </c>
      <c r="E85" s="17" t="s">
        <v>28</v>
      </c>
      <c r="F85" s="17" t="s">
        <v>759</v>
      </c>
      <c r="G85" s="15" t="s">
        <v>281</v>
      </c>
      <c r="H85" s="15" t="s">
        <v>168</v>
      </c>
      <c r="I85" s="15" t="s">
        <v>760</v>
      </c>
      <c r="J85" s="18"/>
      <c r="K85" s="17" t="str">
        <f>"147,5"</f>
        <v>147,5</v>
      </c>
      <c r="L85" s="15" t="str">
        <f>"113,5402"</f>
        <v>113,5402</v>
      </c>
      <c r="M85" s="17"/>
    </row>
    <row r="86" spans="1:13">
      <c r="A86" s="12" t="s">
        <v>762</v>
      </c>
      <c r="B86" s="13" t="s">
        <v>763</v>
      </c>
      <c r="C86" s="13" t="s">
        <v>764</v>
      </c>
      <c r="D86" s="13" t="str">
        <f>"0,5675"</f>
        <v>0,5675</v>
      </c>
      <c r="E86" s="12" t="s">
        <v>28</v>
      </c>
      <c r="F86" s="12" t="s">
        <v>29</v>
      </c>
      <c r="G86" s="14" t="s">
        <v>602</v>
      </c>
      <c r="H86" s="13" t="s">
        <v>153</v>
      </c>
      <c r="I86" s="13" t="s">
        <v>154</v>
      </c>
      <c r="J86" s="14"/>
      <c r="K86" s="12" t="str">
        <f>"122,5"</f>
        <v>122,5</v>
      </c>
      <c r="L86" s="13" t="str">
        <f>"118,1819"</f>
        <v>118,1819</v>
      </c>
      <c r="M86" s="12"/>
    </row>
    <row r="88" spans="1:13" ht="15">
      <c r="A88" s="45" t="s">
        <v>66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</row>
    <row r="89" spans="1:13">
      <c r="A89" s="9" t="s">
        <v>766</v>
      </c>
      <c r="B89" s="10" t="s">
        <v>767</v>
      </c>
      <c r="C89" s="10" t="s">
        <v>768</v>
      </c>
      <c r="D89" s="10" t="str">
        <f>"0,5366"</f>
        <v>0,5366</v>
      </c>
      <c r="E89" s="9" t="s">
        <v>28</v>
      </c>
      <c r="F89" s="9" t="s">
        <v>228</v>
      </c>
      <c r="G89" s="10" t="s">
        <v>49</v>
      </c>
      <c r="H89" s="10" t="s">
        <v>769</v>
      </c>
      <c r="I89" s="10" t="s">
        <v>50</v>
      </c>
      <c r="J89" s="11"/>
      <c r="K89" s="9" t="str">
        <f>"205,0"</f>
        <v>205,0</v>
      </c>
      <c r="L89" s="10" t="str">
        <f>"110,0030"</f>
        <v>110,0030</v>
      </c>
      <c r="M89" s="9"/>
    </row>
    <row r="90" spans="1:13">
      <c r="A90" s="17" t="s">
        <v>771</v>
      </c>
      <c r="B90" s="15" t="s">
        <v>772</v>
      </c>
      <c r="C90" s="15" t="s">
        <v>773</v>
      </c>
      <c r="D90" s="15" t="str">
        <f>"0,5393"</f>
        <v>0,5393</v>
      </c>
      <c r="E90" s="17" t="s">
        <v>18</v>
      </c>
      <c r="F90" s="17" t="s">
        <v>29</v>
      </c>
      <c r="G90" s="18" t="s">
        <v>194</v>
      </c>
      <c r="H90" s="15" t="s">
        <v>188</v>
      </c>
      <c r="I90" s="18" t="s">
        <v>38</v>
      </c>
      <c r="J90" s="18"/>
      <c r="K90" s="17" t="str">
        <f>"180,0"</f>
        <v>180,0</v>
      </c>
      <c r="L90" s="15" t="str">
        <f>"97,0740"</f>
        <v>97,0740</v>
      </c>
      <c r="M90" s="17"/>
    </row>
    <row r="91" spans="1:13">
      <c r="A91" s="17" t="s">
        <v>775</v>
      </c>
      <c r="B91" s="15" t="s">
        <v>776</v>
      </c>
      <c r="C91" s="15" t="s">
        <v>777</v>
      </c>
      <c r="D91" s="15" t="str">
        <f>"0,5413"</f>
        <v>0,5413</v>
      </c>
      <c r="E91" s="17" t="s">
        <v>28</v>
      </c>
      <c r="F91" s="17" t="s">
        <v>29</v>
      </c>
      <c r="G91" s="15" t="s">
        <v>169</v>
      </c>
      <c r="H91" s="18" t="s">
        <v>778</v>
      </c>
      <c r="I91" s="18" t="s">
        <v>778</v>
      </c>
      <c r="J91" s="18"/>
      <c r="K91" s="17" t="str">
        <f>"150,0"</f>
        <v>150,0</v>
      </c>
      <c r="L91" s="15" t="str">
        <f>"81,1950"</f>
        <v>81,1950</v>
      </c>
      <c r="M91" s="17"/>
    </row>
    <row r="92" spans="1:13">
      <c r="A92" s="17" t="s">
        <v>779</v>
      </c>
      <c r="B92" s="43" t="s">
        <v>1231</v>
      </c>
      <c r="C92" s="15" t="s">
        <v>773</v>
      </c>
      <c r="D92" s="15" t="str">
        <f>"0,5393"</f>
        <v>0,5393</v>
      </c>
      <c r="E92" s="17" t="s">
        <v>18</v>
      </c>
      <c r="F92" s="17" t="s">
        <v>29</v>
      </c>
      <c r="G92" s="18" t="s">
        <v>194</v>
      </c>
      <c r="H92" s="15" t="s">
        <v>188</v>
      </c>
      <c r="I92" s="18" t="s">
        <v>38</v>
      </c>
      <c r="J92" s="18"/>
      <c r="K92" s="17" t="str">
        <f>"180,0"</f>
        <v>180,0</v>
      </c>
      <c r="L92" s="15" t="str">
        <f>"97,0740"</f>
        <v>97,0740</v>
      </c>
      <c r="M92" s="17"/>
    </row>
    <row r="93" spans="1:13">
      <c r="A93" s="12" t="s">
        <v>781</v>
      </c>
      <c r="B93" s="13" t="s">
        <v>782</v>
      </c>
      <c r="C93" s="13" t="s">
        <v>783</v>
      </c>
      <c r="D93" s="13" t="str">
        <f>"0,5463"</f>
        <v>0,5463</v>
      </c>
      <c r="E93" s="12" t="s">
        <v>28</v>
      </c>
      <c r="F93" s="12" t="s">
        <v>29</v>
      </c>
      <c r="G93" s="13" t="s">
        <v>168</v>
      </c>
      <c r="H93" s="13" t="s">
        <v>169</v>
      </c>
      <c r="I93" s="14" t="s">
        <v>778</v>
      </c>
      <c r="J93" s="14"/>
      <c r="K93" s="12" t="str">
        <f>"150,0"</f>
        <v>150,0</v>
      </c>
      <c r="L93" s="13" t="str">
        <f>"82,1908"</f>
        <v>82,1908</v>
      </c>
      <c r="M93" s="12"/>
    </row>
    <row r="95" spans="1:13" ht="15">
      <c r="A95" s="45" t="s">
        <v>74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1:13">
      <c r="A96" s="9" t="s">
        <v>785</v>
      </c>
      <c r="B96" s="10" t="s">
        <v>786</v>
      </c>
      <c r="C96" s="10" t="s">
        <v>787</v>
      </c>
      <c r="D96" s="10" t="str">
        <f>"0,5255"</f>
        <v>0,5255</v>
      </c>
      <c r="E96" s="9" t="s">
        <v>219</v>
      </c>
      <c r="F96" s="9" t="s">
        <v>29</v>
      </c>
      <c r="G96" s="10" t="s">
        <v>38</v>
      </c>
      <c r="H96" s="11" t="s">
        <v>788</v>
      </c>
      <c r="I96" s="11" t="s">
        <v>372</v>
      </c>
      <c r="J96" s="11"/>
      <c r="K96" s="9" t="str">
        <f>"190,0"</f>
        <v>190,0</v>
      </c>
      <c r="L96" s="10" t="str">
        <f>"99,8450"</f>
        <v>99,8450</v>
      </c>
      <c r="M96" s="9"/>
    </row>
    <row r="97" spans="1:13">
      <c r="A97" s="17" t="s">
        <v>466</v>
      </c>
      <c r="B97" s="43" t="s">
        <v>1232</v>
      </c>
      <c r="C97" s="15" t="s">
        <v>467</v>
      </c>
      <c r="D97" s="15" t="str">
        <f>"0,5227"</f>
        <v>0,5227</v>
      </c>
      <c r="E97" s="17" t="s">
        <v>28</v>
      </c>
      <c r="F97" s="17" t="s">
        <v>468</v>
      </c>
      <c r="G97" s="15" t="s">
        <v>168</v>
      </c>
      <c r="H97" s="15" t="s">
        <v>789</v>
      </c>
      <c r="I97" s="18" t="s">
        <v>778</v>
      </c>
      <c r="J97" s="18"/>
      <c r="K97" s="17" t="str">
        <f>"152,5"</f>
        <v>152,5</v>
      </c>
      <c r="L97" s="15" t="str">
        <f>"79,7118"</f>
        <v>79,7118</v>
      </c>
      <c r="M97" s="17"/>
    </row>
    <row r="98" spans="1:13">
      <c r="A98" s="17" t="s">
        <v>791</v>
      </c>
      <c r="B98" s="15" t="s">
        <v>792</v>
      </c>
      <c r="C98" s="15" t="s">
        <v>793</v>
      </c>
      <c r="D98" s="15" t="str">
        <f>"0,5247"</f>
        <v>0,5247</v>
      </c>
      <c r="E98" s="17" t="s">
        <v>28</v>
      </c>
      <c r="F98" s="17" t="s">
        <v>29</v>
      </c>
      <c r="G98" s="15" t="s">
        <v>126</v>
      </c>
      <c r="H98" s="15" t="s">
        <v>794</v>
      </c>
      <c r="I98" s="15" t="s">
        <v>795</v>
      </c>
      <c r="J98" s="18"/>
      <c r="K98" s="17" t="str">
        <f>"177,5"</f>
        <v>177,5</v>
      </c>
      <c r="L98" s="15" t="str">
        <f>"93,4137"</f>
        <v>93,4137</v>
      </c>
      <c r="M98" s="17"/>
    </row>
    <row r="99" spans="1:13">
      <c r="A99" s="17" t="s">
        <v>797</v>
      </c>
      <c r="B99" s="15" t="s">
        <v>798</v>
      </c>
      <c r="C99" s="15" t="s">
        <v>799</v>
      </c>
      <c r="D99" s="15" t="str">
        <f>"0,5362"</f>
        <v>0,5362</v>
      </c>
      <c r="E99" s="17" t="s">
        <v>28</v>
      </c>
      <c r="F99" s="17" t="s">
        <v>29</v>
      </c>
      <c r="G99" s="15" t="s">
        <v>281</v>
      </c>
      <c r="H99" s="15" t="s">
        <v>170</v>
      </c>
      <c r="I99" s="15" t="s">
        <v>778</v>
      </c>
      <c r="J99" s="18"/>
      <c r="K99" s="17" t="str">
        <f>"157,5"</f>
        <v>157,5</v>
      </c>
      <c r="L99" s="15" t="str">
        <f>"85,2116"</f>
        <v>85,2116</v>
      </c>
      <c r="M99" s="17"/>
    </row>
    <row r="100" spans="1:13">
      <c r="A100" s="12" t="s">
        <v>801</v>
      </c>
      <c r="B100" s="13" t="s">
        <v>802</v>
      </c>
      <c r="C100" s="13" t="s">
        <v>803</v>
      </c>
      <c r="D100" s="13" t="str">
        <f>"0,5277"</f>
        <v>0,5277</v>
      </c>
      <c r="E100" s="12" t="s">
        <v>28</v>
      </c>
      <c r="F100" s="12" t="s">
        <v>29</v>
      </c>
      <c r="G100" s="13" t="s">
        <v>794</v>
      </c>
      <c r="H100" s="13" t="s">
        <v>176</v>
      </c>
      <c r="I100" s="13" t="s">
        <v>795</v>
      </c>
      <c r="J100" s="14"/>
      <c r="K100" s="12" t="str">
        <f>"177,5"</f>
        <v>177,5</v>
      </c>
      <c r="L100" s="13" t="str">
        <f>"104,6258"</f>
        <v>104,6258</v>
      </c>
      <c r="M100" s="12"/>
    </row>
    <row r="102" spans="1:13" ht="15">
      <c r="A102" s="45" t="s">
        <v>804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1:13">
      <c r="A103" s="9" t="s">
        <v>806</v>
      </c>
      <c r="B103" s="10" t="s">
        <v>807</v>
      </c>
      <c r="C103" s="10" t="s">
        <v>808</v>
      </c>
      <c r="D103" s="10" t="str">
        <f>"0,4943"</f>
        <v>0,4943</v>
      </c>
      <c r="E103" s="9" t="s">
        <v>28</v>
      </c>
      <c r="F103" s="9" t="s">
        <v>809</v>
      </c>
      <c r="G103" s="10" t="s">
        <v>49</v>
      </c>
      <c r="H103" s="10" t="s">
        <v>396</v>
      </c>
      <c r="I103" s="11" t="s">
        <v>788</v>
      </c>
      <c r="J103" s="11"/>
      <c r="K103" s="9" t="str">
        <f>"195,0"</f>
        <v>195,0</v>
      </c>
      <c r="L103" s="10" t="str">
        <f>"96,3885"</f>
        <v>96,3885</v>
      </c>
      <c r="M103" s="9"/>
    </row>
    <row r="104" spans="1:13">
      <c r="A104" s="12" t="s">
        <v>806</v>
      </c>
      <c r="B104" s="13" t="s">
        <v>810</v>
      </c>
      <c r="C104" s="13" t="s">
        <v>808</v>
      </c>
      <c r="D104" s="13" t="str">
        <f>"0,4943"</f>
        <v>0,4943</v>
      </c>
      <c r="E104" s="12" t="s">
        <v>28</v>
      </c>
      <c r="F104" s="12" t="s">
        <v>809</v>
      </c>
      <c r="G104" s="13" t="s">
        <v>49</v>
      </c>
      <c r="H104" s="13" t="s">
        <v>396</v>
      </c>
      <c r="I104" s="14" t="s">
        <v>788</v>
      </c>
      <c r="J104" s="14"/>
      <c r="K104" s="12" t="str">
        <f>"195,0"</f>
        <v>195,0</v>
      </c>
      <c r="L104" s="13" t="str">
        <f>"101,0151"</f>
        <v>101,0151</v>
      </c>
      <c r="M104" s="12"/>
    </row>
    <row r="106" spans="1:13">
      <c r="E106" s="31" t="s">
        <v>1095</v>
      </c>
    </row>
    <row r="107" spans="1:13">
      <c r="E107" s="31" t="s">
        <v>1240</v>
      </c>
    </row>
    <row r="108" spans="1:13">
      <c r="E108" s="31" t="s">
        <v>1096</v>
      </c>
    </row>
    <row r="109" spans="1:13">
      <c r="E109" s="31" t="s">
        <v>1241</v>
      </c>
    </row>
    <row r="110" spans="1:13">
      <c r="E110" s="31" t="s">
        <v>1097</v>
      </c>
    </row>
    <row r="114" spans="1:5" ht="18">
      <c r="A114" s="21" t="s">
        <v>81</v>
      </c>
      <c r="B114" s="22"/>
    </row>
    <row r="115" spans="1:5" ht="15">
      <c r="A115" s="23" t="s">
        <v>229</v>
      </c>
      <c r="B115" s="24"/>
    </row>
    <row r="116" spans="1:5" ht="14.25">
      <c r="A116" s="26"/>
      <c r="B116" s="27" t="s">
        <v>295</v>
      </c>
    </row>
    <row r="117" spans="1:5" ht="15">
      <c r="A117" s="28" t="s">
        <v>0</v>
      </c>
      <c r="B117" s="28" t="s">
        <v>84</v>
      </c>
      <c r="C117" s="28" t="s">
        <v>85</v>
      </c>
      <c r="D117" s="28" t="s">
        <v>86</v>
      </c>
      <c r="E117" s="28" t="s">
        <v>11</v>
      </c>
    </row>
    <row r="118" spans="1:5">
      <c r="A118" s="25" t="s">
        <v>554</v>
      </c>
      <c r="B118" s="5" t="s">
        <v>469</v>
      </c>
      <c r="C118" s="5" t="s">
        <v>234</v>
      </c>
      <c r="D118" s="5" t="s">
        <v>811</v>
      </c>
      <c r="E118" s="29" t="s">
        <v>812</v>
      </c>
    </row>
    <row r="119" spans="1:5">
      <c r="A119" s="25" t="s">
        <v>543</v>
      </c>
      <c r="B119" s="5" t="s">
        <v>296</v>
      </c>
      <c r="C119" s="5" t="s">
        <v>232</v>
      </c>
      <c r="D119" s="5" t="s">
        <v>553</v>
      </c>
      <c r="E119" s="29" t="s">
        <v>813</v>
      </c>
    </row>
    <row r="120" spans="1:5">
      <c r="A120" s="25" t="s">
        <v>532</v>
      </c>
      <c r="B120" s="5" t="s">
        <v>296</v>
      </c>
      <c r="C120" s="5" t="s">
        <v>814</v>
      </c>
      <c r="D120" s="5" t="s">
        <v>522</v>
      </c>
      <c r="E120" s="29" t="s">
        <v>815</v>
      </c>
    </row>
    <row r="122" spans="1:5" ht="14.25">
      <c r="A122" s="26"/>
      <c r="B122" s="27" t="s">
        <v>471</v>
      </c>
    </row>
    <row r="123" spans="1:5" ht="15">
      <c r="A123" s="28" t="s">
        <v>0</v>
      </c>
      <c r="B123" s="28" t="s">
        <v>84</v>
      </c>
      <c r="C123" s="28" t="s">
        <v>85</v>
      </c>
      <c r="D123" s="28" t="s">
        <v>86</v>
      </c>
      <c r="E123" s="28" t="s">
        <v>11</v>
      </c>
    </row>
    <row r="124" spans="1:5">
      <c r="A124" s="25" t="s">
        <v>517</v>
      </c>
      <c r="B124" s="5" t="s">
        <v>472</v>
      </c>
      <c r="C124" s="5" t="s">
        <v>474</v>
      </c>
      <c r="D124" s="5" t="s">
        <v>522</v>
      </c>
      <c r="E124" s="29" t="s">
        <v>816</v>
      </c>
    </row>
    <row r="125" spans="1:5">
      <c r="A125" s="25" t="s">
        <v>341</v>
      </c>
      <c r="B125" s="5" t="s">
        <v>472</v>
      </c>
      <c r="C125" s="5" t="s">
        <v>241</v>
      </c>
      <c r="D125" s="5" t="s">
        <v>563</v>
      </c>
      <c r="E125" s="29" t="s">
        <v>817</v>
      </c>
    </row>
    <row r="127" spans="1:5" ht="14.25">
      <c r="A127" s="26"/>
      <c r="B127" s="27" t="s">
        <v>83</v>
      </c>
    </row>
    <row r="128" spans="1:5" ht="15">
      <c r="A128" s="28" t="s">
        <v>0</v>
      </c>
      <c r="B128" s="28" t="s">
        <v>84</v>
      </c>
      <c r="C128" s="28" t="s">
        <v>85</v>
      </c>
      <c r="D128" s="28" t="s">
        <v>86</v>
      </c>
      <c r="E128" s="28" t="s">
        <v>11</v>
      </c>
    </row>
    <row r="129" spans="1:5">
      <c r="A129" s="25" t="s">
        <v>559</v>
      </c>
      <c r="B129" s="5" t="s">
        <v>83</v>
      </c>
      <c r="C129" s="5" t="s">
        <v>234</v>
      </c>
      <c r="D129" s="5" t="s">
        <v>325</v>
      </c>
      <c r="E129" s="29" t="s">
        <v>818</v>
      </c>
    </row>
    <row r="130" spans="1:5">
      <c r="A130" s="25" t="s">
        <v>524</v>
      </c>
      <c r="B130" s="5" t="s">
        <v>83</v>
      </c>
      <c r="C130" s="5" t="s">
        <v>474</v>
      </c>
      <c r="D130" s="5" t="s">
        <v>819</v>
      </c>
      <c r="E130" s="29" t="s">
        <v>820</v>
      </c>
    </row>
    <row r="131" spans="1:5">
      <c r="A131" s="25" t="s">
        <v>536</v>
      </c>
      <c r="B131" s="5" t="s">
        <v>83</v>
      </c>
      <c r="C131" s="5" t="s">
        <v>814</v>
      </c>
      <c r="D131" s="5" t="s">
        <v>811</v>
      </c>
      <c r="E131" s="29" t="s">
        <v>821</v>
      </c>
    </row>
    <row r="132" spans="1:5">
      <c r="A132" s="25" t="s">
        <v>511</v>
      </c>
      <c r="B132" s="5" t="s">
        <v>83</v>
      </c>
      <c r="C132" s="5" t="s">
        <v>822</v>
      </c>
      <c r="D132" s="5" t="s">
        <v>522</v>
      </c>
      <c r="E132" s="29" t="s">
        <v>823</v>
      </c>
    </row>
    <row r="134" spans="1:5" ht="14.25">
      <c r="A134" s="26"/>
      <c r="B134" s="27" t="s">
        <v>100</v>
      </c>
    </row>
    <row r="135" spans="1:5" ht="15">
      <c r="A135" s="28" t="s">
        <v>0</v>
      </c>
      <c r="B135" s="28" t="s">
        <v>84</v>
      </c>
      <c r="C135" s="28" t="s">
        <v>85</v>
      </c>
      <c r="D135" s="28" t="s">
        <v>86</v>
      </c>
      <c r="E135" s="28" t="s">
        <v>11</v>
      </c>
    </row>
    <row r="136" spans="1:5">
      <c r="A136" s="25" t="s">
        <v>559</v>
      </c>
      <c r="B136" s="5" t="s">
        <v>101</v>
      </c>
      <c r="C136" s="5" t="s">
        <v>234</v>
      </c>
      <c r="D136" s="5" t="s">
        <v>325</v>
      </c>
      <c r="E136" s="29" t="s">
        <v>818</v>
      </c>
    </row>
    <row r="138" spans="1:5" ht="14.25">
      <c r="A138" s="26"/>
      <c r="B138" s="27" t="s">
        <v>102</v>
      </c>
    </row>
    <row r="139" spans="1:5" ht="15">
      <c r="A139" s="28" t="s">
        <v>0</v>
      </c>
      <c r="B139" s="28" t="s">
        <v>84</v>
      </c>
      <c r="C139" s="28" t="s">
        <v>85</v>
      </c>
      <c r="D139" s="28" t="s">
        <v>86</v>
      </c>
      <c r="E139" s="28" t="s">
        <v>11</v>
      </c>
    </row>
    <row r="140" spans="1:5">
      <c r="A140" s="25" t="s">
        <v>549</v>
      </c>
      <c r="B140" s="5" t="s">
        <v>252</v>
      </c>
      <c r="C140" s="5" t="s">
        <v>232</v>
      </c>
      <c r="D140" s="5" t="s">
        <v>516</v>
      </c>
      <c r="E140" s="29" t="s">
        <v>824</v>
      </c>
    </row>
    <row r="141" spans="1:5">
      <c r="A141" s="25" t="s">
        <v>564</v>
      </c>
      <c r="B141" s="5" t="s">
        <v>248</v>
      </c>
      <c r="C141" s="5" t="s">
        <v>241</v>
      </c>
      <c r="D141" s="5" t="s">
        <v>553</v>
      </c>
      <c r="E141" s="29" t="s">
        <v>825</v>
      </c>
    </row>
    <row r="144" spans="1:5" ht="15">
      <c r="A144" s="23" t="s">
        <v>82</v>
      </c>
      <c r="B144" s="24"/>
    </row>
    <row r="145" spans="1:5" ht="14.25">
      <c r="A145" s="26"/>
      <c r="B145" s="27" t="s">
        <v>295</v>
      </c>
    </row>
    <row r="146" spans="1:5" ht="15">
      <c r="A146" s="28" t="s">
        <v>0</v>
      </c>
      <c r="B146" s="28" t="s">
        <v>84</v>
      </c>
      <c r="C146" s="28" t="s">
        <v>85</v>
      </c>
      <c r="D146" s="28" t="s">
        <v>86</v>
      </c>
      <c r="E146" s="28" t="s">
        <v>11</v>
      </c>
    </row>
    <row r="147" spans="1:5">
      <c r="A147" s="25" t="s">
        <v>569</v>
      </c>
      <c r="B147" s="5" t="s">
        <v>486</v>
      </c>
      <c r="C147" s="5" t="s">
        <v>234</v>
      </c>
      <c r="D147" s="5" t="s">
        <v>826</v>
      </c>
      <c r="E147" s="29" t="s">
        <v>827</v>
      </c>
    </row>
    <row r="148" spans="1:5">
      <c r="A148" s="25" t="s">
        <v>587</v>
      </c>
      <c r="B148" s="5" t="s">
        <v>486</v>
      </c>
      <c r="C148" s="5" t="s">
        <v>241</v>
      </c>
      <c r="D148" s="5" t="s">
        <v>135</v>
      </c>
      <c r="E148" s="29" t="s">
        <v>828</v>
      </c>
    </row>
    <row r="150" spans="1:5" ht="14.25">
      <c r="A150" s="26"/>
      <c r="B150" s="27" t="s">
        <v>471</v>
      </c>
    </row>
    <row r="151" spans="1:5" ht="15">
      <c r="A151" s="28" t="s">
        <v>0</v>
      </c>
      <c r="B151" s="28" t="s">
        <v>84</v>
      </c>
      <c r="C151" s="28" t="s">
        <v>85</v>
      </c>
      <c r="D151" s="28" t="s">
        <v>86</v>
      </c>
      <c r="E151" s="28" t="s">
        <v>11</v>
      </c>
    </row>
    <row r="152" spans="1:5">
      <c r="A152" s="25" t="s">
        <v>685</v>
      </c>
      <c r="B152" s="5" t="s">
        <v>472</v>
      </c>
      <c r="C152" s="5" t="s">
        <v>96</v>
      </c>
      <c r="D152" s="5" t="s">
        <v>707</v>
      </c>
      <c r="E152" s="29" t="s">
        <v>829</v>
      </c>
    </row>
    <row r="153" spans="1:5">
      <c r="A153" s="25" t="s">
        <v>576</v>
      </c>
      <c r="B153" s="5" t="s">
        <v>472</v>
      </c>
      <c r="C153" s="5" t="s">
        <v>234</v>
      </c>
      <c r="D153" s="5" t="s">
        <v>579</v>
      </c>
      <c r="E153" s="29" t="s">
        <v>830</v>
      </c>
    </row>
    <row r="154" spans="1:5">
      <c r="A154" s="25" t="s">
        <v>598</v>
      </c>
      <c r="B154" s="5" t="s">
        <v>472</v>
      </c>
      <c r="C154" s="5" t="s">
        <v>241</v>
      </c>
      <c r="D154" s="5" t="s">
        <v>346</v>
      </c>
      <c r="E154" s="29" t="s">
        <v>831</v>
      </c>
    </row>
    <row r="155" spans="1:5">
      <c r="A155" s="25" t="s">
        <v>603</v>
      </c>
      <c r="B155" s="5" t="s">
        <v>472</v>
      </c>
      <c r="C155" s="5" t="s">
        <v>241</v>
      </c>
      <c r="D155" s="5" t="s">
        <v>579</v>
      </c>
      <c r="E155" s="29" t="s">
        <v>832</v>
      </c>
    </row>
    <row r="157" spans="1:5" ht="14.25">
      <c r="A157" s="26"/>
      <c r="B157" s="27" t="s">
        <v>83</v>
      </c>
    </row>
    <row r="158" spans="1:5" ht="15">
      <c r="A158" s="28" t="s">
        <v>0</v>
      </c>
      <c r="B158" s="28" t="s">
        <v>84</v>
      </c>
      <c r="C158" s="28" t="s">
        <v>85</v>
      </c>
      <c r="D158" s="28" t="s">
        <v>86</v>
      </c>
      <c r="E158" s="28" t="s">
        <v>11</v>
      </c>
    </row>
    <row r="159" spans="1:5">
      <c r="A159" s="25" t="s">
        <v>765</v>
      </c>
      <c r="B159" s="5" t="s">
        <v>83</v>
      </c>
      <c r="C159" s="5" t="s">
        <v>93</v>
      </c>
      <c r="D159" s="5" t="s">
        <v>39</v>
      </c>
      <c r="E159" s="29" t="s">
        <v>833</v>
      </c>
    </row>
    <row r="160" spans="1:5">
      <c r="A160" s="25" t="s">
        <v>784</v>
      </c>
      <c r="B160" s="5" t="s">
        <v>83</v>
      </c>
      <c r="C160" s="5" t="s">
        <v>106</v>
      </c>
      <c r="D160" s="5" t="s">
        <v>38</v>
      </c>
      <c r="E160" s="29" t="s">
        <v>834</v>
      </c>
    </row>
    <row r="161" spans="1:5">
      <c r="A161" s="25" t="s">
        <v>770</v>
      </c>
      <c r="B161" s="5" t="s">
        <v>83</v>
      </c>
      <c r="C161" s="5" t="s">
        <v>93</v>
      </c>
      <c r="D161" s="5" t="s">
        <v>188</v>
      </c>
      <c r="E161" s="29" t="s">
        <v>835</v>
      </c>
    </row>
    <row r="162" spans="1:5">
      <c r="A162" s="25" t="s">
        <v>628</v>
      </c>
      <c r="B162" s="5" t="s">
        <v>83</v>
      </c>
      <c r="C162" s="5" t="s">
        <v>87</v>
      </c>
      <c r="D162" s="5" t="s">
        <v>170</v>
      </c>
      <c r="E162" s="29" t="s">
        <v>836</v>
      </c>
    </row>
    <row r="163" spans="1:5">
      <c r="A163" s="25" t="s">
        <v>805</v>
      </c>
      <c r="B163" s="5" t="s">
        <v>83</v>
      </c>
      <c r="C163" s="5" t="s">
        <v>837</v>
      </c>
      <c r="D163" s="5" t="s">
        <v>179</v>
      </c>
      <c r="E163" s="29" t="s">
        <v>838</v>
      </c>
    </row>
    <row r="164" spans="1:5">
      <c r="A164" s="25" t="s">
        <v>632</v>
      </c>
      <c r="B164" s="5" t="s">
        <v>83</v>
      </c>
      <c r="C164" s="5" t="s">
        <v>87</v>
      </c>
      <c r="D164" s="5" t="s">
        <v>249</v>
      </c>
      <c r="E164" s="29" t="s">
        <v>839</v>
      </c>
    </row>
    <row r="165" spans="1:5">
      <c r="A165" s="25" t="s">
        <v>635</v>
      </c>
      <c r="B165" s="5" t="s">
        <v>83</v>
      </c>
      <c r="C165" s="5" t="s">
        <v>87</v>
      </c>
      <c r="D165" s="5" t="s">
        <v>640</v>
      </c>
      <c r="E165" s="29" t="s">
        <v>840</v>
      </c>
    </row>
    <row r="166" spans="1:5">
      <c r="A166" s="25" t="s">
        <v>730</v>
      </c>
      <c r="B166" s="5" t="s">
        <v>83</v>
      </c>
      <c r="C166" s="5" t="s">
        <v>89</v>
      </c>
      <c r="D166" s="5" t="s">
        <v>187</v>
      </c>
      <c r="E166" s="29" t="s">
        <v>841</v>
      </c>
    </row>
    <row r="167" spans="1:5">
      <c r="A167" s="25" t="s">
        <v>609</v>
      </c>
      <c r="B167" s="5" t="s">
        <v>83</v>
      </c>
      <c r="C167" s="5" t="s">
        <v>241</v>
      </c>
      <c r="D167" s="5" t="s">
        <v>222</v>
      </c>
      <c r="E167" s="29" t="s">
        <v>842</v>
      </c>
    </row>
    <row r="168" spans="1:5">
      <c r="A168" s="25" t="s">
        <v>642</v>
      </c>
      <c r="B168" s="5" t="s">
        <v>83</v>
      </c>
      <c r="C168" s="5" t="s">
        <v>87</v>
      </c>
      <c r="D168" s="5" t="s">
        <v>340</v>
      </c>
      <c r="E168" s="29" t="s">
        <v>843</v>
      </c>
    </row>
    <row r="169" spans="1:5">
      <c r="A169" s="25" t="s">
        <v>694</v>
      </c>
      <c r="B169" s="5" t="s">
        <v>83</v>
      </c>
      <c r="C169" s="5" t="s">
        <v>96</v>
      </c>
      <c r="D169" s="5" t="s">
        <v>742</v>
      </c>
      <c r="E169" s="29" t="s">
        <v>844</v>
      </c>
    </row>
    <row r="170" spans="1:5">
      <c r="A170" s="25" t="s">
        <v>690</v>
      </c>
      <c r="B170" s="5" t="s">
        <v>83</v>
      </c>
      <c r="C170" s="5" t="s">
        <v>96</v>
      </c>
      <c r="D170" s="5" t="s">
        <v>640</v>
      </c>
      <c r="E170" s="29" t="s">
        <v>845</v>
      </c>
    </row>
    <row r="171" spans="1:5">
      <c r="A171" s="25" t="s">
        <v>734</v>
      </c>
      <c r="B171" s="5" t="s">
        <v>83</v>
      </c>
      <c r="C171" s="5" t="s">
        <v>89</v>
      </c>
      <c r="D171" s="5" t="s">
        <v>249</v>
      </c>
      <c r="E171" s="29" t="s">
        <v>846</v>
      </c>
    </row>
    <row r="172" spans="1:5">
      <c r="A172" s="25" t="s">
        <v>645</v>
      </c>
      <c r="B172" s="5" t="s">
        <v>83</v>
      </c>
      <c r="C172" s="5" t="s">
        <v>87</v>
      </c>
      <c r="D172" s="5" t="s">
        <v>340</v>
      </c>
      <c r="E172" s="29" t="s">
        <v>847</v>
      </c>
    </row>
    <row r="173" spans="1:5">
      <c r="A173" s="25" t="s">
        <v>613</v>
      </c>
      <c r="B173" s="5" t="s">
        <v>83</v>
      </c>
      <c r="C173" s="5" t="s">
        <v>241</v>
      </c>
      <c r="D173" s="5" t="s">
        <v>347</v>
      </c>
      <c r="E173" s="29" t="s">
        <v>848</v>
      </c>
    </row>
    <row r="174" spans="1:5">
      <c r="A174" s="25" t="s">
        <v>648</v>
      </c>
      <c r="B174" s="5" t="s">
        <v>83</v>
      </c>
      <c r="C174" s="5" t="s">
        <v>87</v>
      </c>
      <c r="D174" s="5" t="s">
        <v>340</v>
      </c>
      <c r="E174" s="29" t="s">
        <v>849</v>
      </c>
    </row>
    <row r="175" spans="1:5">
      <c r="A175" s="25" t="s">
        <v>699</v>
      </c>
      <c r="B175" s="5" t="s">
        <v>83</v>
      </c>
      <c r="C175" s="5" t="s">
        <v>96</v>
      </c>
      <c r="D175" s="5" t="s">
        <v>276</v>
      </c>
      <c r="E175" s="29" t="s">
        <v>850</v>
      </c>
    </row>
    <row r="176" spans="1:5">
      <c r="A176" s="25" t="s">
        <v>652</v>
      </c>
      <c r="B176" s="5" t="s">
        <v>83</v>
      </c>
      <c r="C176" s="5" t="s">
        <v>87</v>
      </c>
      <c r="D176" s="5" t="s">
        <v>222</v>
      </c>
      <c r="E176" s="29" t="s">
        <v>851</v>
      </c>
    </row>
    <row r="177" spans="1:5">
      <c r="A177" s="25" t="s">
        <v>580</v>
      </c>
      <c r="B177" s="5" t="s">
        <v>83</v>
      </c>
      <c r="C177" s="5" t="s">
        <v>234</v>
      </c>
      <c r="D177" s="5" t="s">
        <v>220</v>
      </c>
      <c r="E177" s="29" t="s">
        <v>852</v>
      </c>
    </row>
    <row r="178" spans="1:5">
      <c r="A178" s="25" t="s">
        <v>656</v>
      </c>
      <c r="B178" s="5" t="s">
        <v>83</v>
      </c>
      <c r="C178" s="5" t="s">
        <v>87</v>
      </c>
      <c r="D178" s="5" t="s">
        <v>222</v>
      </c>
      <c r="E178" s="29" t="s">
        <v>853</v>
      </c>
    </row>
    <row r="179" spans="1:5">
      <c r="A179" s="25" t="s">
        <v>774</v>
      </c>
      <c r="B179" s="5" t="s">
        <v>83</v>
      </c>
      <c r="C179" s="5" t="s">
        <v>93</v>
      </c>
      <c r="D179" s="5" t="s">
        <v>249</v>
      </c>
      <c r="E179" s="29" t="s">
        <v>854</v>
      </c>
    </row>
    <row r="180" spans="1:5">
      <c r="A180" s="25" t="s">
        <v>703</v>
      </c>
      <c r="B180" s="5" t="s">
        <v>83</v>
      </c>
      <c r="C180" s="5" t="s">
        <v>96</v>
      </c>
      <c r="D180" s="5" t="s">
        <v>707</v>
      </c>
      <c r="E180" s="29" t="s">
        <v>855</v>
      </c>
    </row>
    <row r="181" spans="1:5">
      <c r="A181" s="25" t="s">
        <v>660</v>
      </c>
      <c r="B181" s="5" t="s">
        <v>83</v>
      </c>
      <c r="C181" s="5" t="s">
        <v>87</v>
      </c>
      <c r="D181" s="5" t="s">
        <v>338</v>
      </c>
      <c r="E181" s="29" t="s">
        <v>856</v>
      </c>
    </row>
    <row r="182" spans="1:5">
      <c r="A182" s="25" t="s">
        <v>663</v>
      </c>
      <c r="B182" s="5" t="s">
        <v>83</v>
      </c>
      <c r="C182" s="5" t="s">
        <v>87</v>
      </c>
      <c r="D182" s="5" t="s">
        <v>338</v>
      </c>
      <c r="E182" s="29" t="s">
        <v>857</v>
      </c>
    </row>
    <row r="184" spans="1:5" ht="14.25">
      <c r="A184" s="26"/>
      <c r="B184" s="27" t="s">
        <v>100</v>
      </c>
    </row>
    <row r="185" spans="1:5" ht="15">
      <c r="A185" s="28" t="s">
        <v>0</v>
      </c>
      <c r="B185" s="28" t="s">
        <v>84</v>
      </c>
      <c r="C185" s="28" t="s">
        <v>85</v>
      </c>
      <c r="D185" s="28" t="s">
        <v>86</v>
      </c>
      <c r="E185" s="28" t="s">
        <v>11</v>
      </c>
    </row>
    <row r="186" spans="1:5">
      <c r="A186" s="25" t="s">
        <v>770</v>
      </c>
      <c r="B186" s="5" t="s">
        <v>101</v>
      </c>
      <c r="C186" s="5" t="s">
        <v>93</v>
      </c>
      <c r="D186" s="5" t="s">
        <v>188</v>
      </c>
      <c r="E186" s="29" t="s">
        <v>835</v>
      </c>
    </row>
    <row r="187" spans="1:5">
      <c r="A187" s="25" t="s">
        <v>465</v>
      </c>
      <c r="B187" s="5" t="s">
        <v>101</v>
      </c>
      <c r="C187" s="5" t="s">
        <v>106</v>
      </c>
      <c r="D187" s="5" t="s">
        <v>641</v>
      </c>
      <c r="E187" s="29" t="s">
        <v>858</v>
      </c>
    </row>
    <row r="189" spans="1:5" ht="14.25">
      <c r="A189" s="26"/>
      <c r="B189" s="27" t="s">
        <v>102</v>
      </c>
    </row>
    <row r="190" spans="1:5" ht="15">
      <c r="A190" s="28" t="s">
        <v>0</v>
      </c>
      <c r="B190" s="28" t="s">
        <v>84</v>
      </c>
      <c r="C190" s="28" t="s">
        <v>85</v>
      </c>
      <c r="D190" s="28" t="s">
        <v>86</v>
      </c>
      <c r="E190" s="28" t="s">
        <v>11</v>
      </c>
    </row>
    <row r="191" spans="1:5">
      <c r="A191" s="25" t="s">
        <v>761</v>
      </c>
      <c r="B191" s="5" t="s">
        <v>105</v>
      </c>
      <c r="C191" s="5" t="s">
        <v>89</v>
      </c>
      <c r="D191" s="5" t="s">
        <v>230</v>
      </c>
      <c r="E191" s="29" t="s">
        <v>859</v>
      </c>
    </row>
    <row r="192" spans="1:5">
      <c r="A192" s="25" t="s">
        <v>755</v>
      </c>
      <c r="B192" s="5" t="s">
        <v>860</v>
      </c>
      <c r="C192" s="5" t="s">
        <v>89</v>
      </c>
      <c r="D192" s="5" t="s">
        <v>738</v>
      </c>
      <c r="E192" s="29" t="s">
        <v>861</v>
      </c>
    </row>
    <row r="193" spans="1:5">
      <c r="A193" s="25" t="s">
        <v>800</v>
      </c>
      <c r="B193" s="5" t="s">
        <v>252</v>
      </c>
      <c r="C193" s="5" t="s">
        <v>106</v>
      </c>
      <c r="D193" s="5" t="s">
        <v>862</v>
      </c>
      <c r="E193" s="29" t="s">
        <v>863</v>
      </c>
    </row>
    <row r="194" spans="1:5">
      <c r="A194" s="25" t="s">
        <v>670</v>
      </c>
      <c r="B194" s="5" t="s">
        <v>248</v>
      </c>
      <c r="C194" s="5" t="s">
        <v>87</v>
      </c>
      <c r="D194" s="5" t="s">
        <v>199</v>
      </c>
      <c r="E194" s="29" t="s">
        <v>864</v>
      </c>
    </row>
    <row r="195" spans="1:5">
      <c r="A195" s="25" t="s">
        <v>805</v>
      </c>
      <c r="B195" s="5" t="s">
        <v>252</v>
      </c>
      <c r="C195" s="5" t="s">
        <v>837</v>
      </c>
      <c r="D195" s="5" t="s">
        <v>179</v>
      </c>
      <c r="E195" s="29" t="s">
        <v>865</v>
      </c>
    </row>
    <row r="196" spans="1:5">
      <c r="A196" s="25" t="s">
        <v>790</v>
      </c>
      <c r="B196" s="5" t="s">
        <v>248</v>
      </c>
      <c r="C196" s="5" t="s">
        <v>106</v>
      </c>
      <c r="D196" s="5" t="s">
        <v>862</v>
      </c>
      <c r="E196" s="29" t="s">
        <v>866</v>
      </c>
    </row>
    <row r="197" spans="1:5">
      <c r="A197" s="25" t="s">
        <v>746</v>
      </c>
      <c r="B197" s="5" t="s">
        <v>248</v>
      </c>
      <c r="C197" s="5" t="s">
        <v>89</v>
      </c>
      <c r="D197" s="5" t="s">
        <v>200</v>
      </c>
      <c r="E197" s="29" t="s">
        <v>867</v>
      </c>
    </row>
    <row r="198" spans="1:5">
      <c r="A198" s="25" t="s">
        <v>624</v>
      </c>
      <c r="B198" s="5" t="s">
        <v>252</v>
      </c>
      <c r="C198" s="5" t="s">
        <v>241</v>
      </c>
      <c r="D198" s="5" t="s">
        <v>221</v>
      </c>
      <c r="E198" s="29" t="s">
        <v>868</v>
      </c>
    </row>
    <row r="199" spans="1:5">
      <c r="A199" s="25" t="s">
        <v>412</v>
      </c>
      <c r="B199" s="5" t="s">
        <v>252</v>
      </c>
      <c r="C199" s="5" t="s">
        <v>96</v>
      </c>
      <c r="D199" s="5" t="s">
        <v>340</v>
      </c>
      <c r="E199" s="29" t="s">
        <v>869</v>
      </c>
    </row>
    <row r="200" spans="1:5">
      <c r="A200" s="25" t="s">
        <v>796</v>
      </c>
      <c r="B200" s="5" t="s">
        <v>248</v>
      </c>
      <c r="C200" s="5" t="s">
        <v>106</v>
      </c>
      <c r="D200" s="5" t="s">
        <v>778</v>
      </c>
      <c r="E200" s="29" t="s">
        <v>870</v>
      </c>
    </row>
    <row r="201" spans="1:5">
      <c r="A201" s="25" t="s">
        <v>750</v>
      </c>
      <c r="B201" s="5" t="s">
        <v>252</v>
      </c>
      <c r="C201" s="5" t="s">
        <v>89</v>
      </c>
      <c r="D201" s="5" t="s">
        <v>276</v>
      </c>
      <c r="E201" s="29" t="s">
        <v>871</v>
      </c>
    </row>
    <row r="202" spans="1:5">
      <c r="A202" s="25" t="s">
        <v>780</v>
      </c>
      <c r="B202" s="5" t="s">
        <v>248</v>
      </c>
      <c r="C202" s="5" t="s">
        <v>93</v>
      </c>
      <c r="D202" s="5" t="s">
        <v>249</v>
      </c>
      <c r="E202" s="29" t="s">
        <v>872</v>
      </c>
    </row>
    <row r="203" spans="1:5">
      <c r="A203" s="25" t="s">
        <v>674</v>
      </c>
      <c r="B203" s="5" t="s">
        <v>248</v>
      </c>
      <c r="C203" s="5" t="s">
        <v>87</v>
      </c>
      <c r="D203" s="5" t="s">
        <v>230</v>
      </c>
      <c r="E203" s="29" t="s">
        <v>873</v>
      </c>
    </row>
    <row r="204" spans="1:5">
      <c r="A204" s="25" t="s">
        <v>678</v>
      </c>
      <c r="B204" s="5" t="s">
        <v>252</v>
      </c>
      <c r="C204" s="5" t="s">
        <v>87</v>
      </c>
      <c r="D204" s="5" t="s">
        <v>684</v>
      </c>
      <c r="E204" s="29" t="s">
        <v>874</v>
      </c>
    </row>
  </sheetData>
  <mergeCells count="25">
    <mergeCell ref="A1:M2"/>
    <mergeCell ref="A3:A4"/>
    <mergeCell ref="B3:B4"/>
    <mergeCell ref="C3:C4"/>
    <mergeCell ref="D3:D4"/>
    <mergeCell ref="E3:E4"/>
    <mergeCell ref="F3:F4"/>
    <mergeCell ref="G3:J3"/>
    <mergeCell ref="A48:L48"/>
    <mergeCell ref="K3:K4"/>
    <mergeCell ref="L3:L4"/>
    <mergeCell ref="M3:M4"/>
    <mergeCell ref="A5:L5"/>
    <mergeCell ref="A8:L8"/>
    <mergeCell ref="A12:L12"/>
    <mergeCell ref="A16:L16"/>
    <mergeCell ref="A20:L20"/>
    <mergeCell ref="A25:L25"/>
    <mergeCell ref="A29:L29"/>
    <mergeCell ref="A35:L35"/>
    <mergeCell ref="A64:L64"/>
    <mergeCell ref="A78:L78"/>
    <mergeCell ref="A88:L88"/>
    <mergeCell ref="A95:L95"/>
    <mergeCell ref="A102:L10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topLeftCell="A3" workbookViewId="0">
      <selection activeCell="E9" sqref="E9:F13"/>
    </sheetView>
  </sheetViews>
  <sheetFormatPr defaultRowHeight="12.75"/>
  <cols>
    <col min="1" max="1" width="27" style="4" bestFit="1" customWidth="1"/>
    <col min="2" max="2" width="30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15.85546875" style="4" bestFit="1" customWidth="1"/>
    <col min="7" max="7" width="6.5703125" style="5" bestFit="1" customWidth="1"/>
    <col min="8" max="8" width="6.5703125" style="5" customWidth="1"/>
    <col min="9" max="9" width="6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54" t="s">
        <v>1103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.1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0</v>
      </c>
      <c r="B3" s="62" t="s">
        <v>10</v>
      </c>
      <c r="C3" s="62" t="s">
        <v>8</v>
      </c>
      <c r="D3" s="48" t="s">
        <v>11</v>
      </c>
      <c r="E3" s="48" t="s">
        <v>1</v>
      </c>
      <c r="F3" s="63" t="s">
        <v>12</v>
      </c>
      <c r="G3" s="60" t="s">
        <v>4</v>
      </c>
      <c r="H3" s="48"/>
      <c r="I3" s="48"/>
      <c r="J3" s="50"/>
      <c r="K3" s="46" t="s">
        <v>108</v>
      </c>
      <c r="L3" s="48" t="s">
        <v>6</v>
      </c>
      <c r="M3" s="50" t="s">
        <v>5</v>
      </c>
    </row>
    <row r="4" spans="1:13" s="1" customFormat="1" ht="23.25" customHeight="1" thickBot="1">
      <c r="A4" s="61"/>
      <c r="B4" s="49"/>
      <c r="C4" s="49"/>
      <c r="D4" s="49"/>
      <c r="E4" s="49"/>
      <c r="F4" s="64"/>
      <c r="G4" s="6">
        <v>1</v>
      </c>
      <c r="H4" s="7">
        <v>2</v>
      </c>
      <c r="I4" s="7">
        <v>3</v>
      </c>
      <c r="J4" s="8" t="s">
        <v>7</v>
      </c>
      <c r="K4" s="47"/>
      <c r="L4" s="49"/>
      <c r="M4" s="51"/>
    </row>
    <row r="5" spans="1:13" s="5" customFormat="1" ht="15">
      <c r="A5" s="52" t="s">
        <v>23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4"/>
    </row>
    <row r="6" spans="1:13" s="5" customFormat="1">
      <c r="A6" s="9" t="s">
        <v>406</v>
      </c>
      <c r="B6" s="10" t="s">
        <v>509</v>
      </c>
      <c r="C6" s="10" t="s">
        <v>407</v>
      </c>
      <c r="D6" s="10" t="str">
        <f>"0,5853"</f>
        <v>0,5853</v>
      </c>
      <c r="E6" s="9" t="s">
        <v>28</v>
      </c>
      <c r="F6" s="9" t="s">
        <v>408</v>
      </c>
      <c r="G6" s="10" t="s">
        <v>50</v>
      </c>
      <c r="H6" s="10" t="s">
        <v>289</v>
      </c>
      <c r="I6" s="10" t="s">
        <v>114</v>
      </c>
      <c r="J6" s="11"/>
      <c r="K6" s="9" t="str">
        <f>"235,0"</f>
        <v>235,0</v>
      </c>
      <c r="L6" s="10" t="str">
        <f>"137,5455"</f>
        <v>137,5455</v>
      </c>
      <c r="M6" s="9"/>
    </row>
    <row r="7" spans="1:13" s="5" customFormat="1">
      <c r="A7" s="12" t="s">
        <v>406</v>
      </c>
      <c r="B7" s="41" t="s">
        <v>1233</v>
      </c>
      <c r="C7" s="13" t="s">
        <v>407</v>
      </c>
      <c r="D7" s="13" t="str">
        <f>"0,5853"</f>
        <v>0,5853</v>
      </c>
      <c r="E7" s="12" t="s">
        <v>28</v>
      </c>
      <c r="F7" s="12" t="s">
        <v>408</v>
      </c>
      <c r="G7" s="13" t="s">
        <v>50</v>
      </c>
      <c r="H7" s="13" t="s">
        <v>289</v>
      </c>
      <c r="I7" s="13" t="s">
        <v>114</v>
      </c>
      <c r="J7" s="14"/>
      <c r="K7" s="12" t="str">
        <f>"235,0"</f>
        <v>235,0</v>
      </c>
      <c r="L7" s="13" t="str">
        <f>"137,5455"</f>
        <v>137,5455</v>
      </c>
      <c r="M7" s="12"/>
    </row>
    <row r="9" spans="1:13">
      <c r="E9" s="31" t="s">
        <v>1095</v>
      </c>
    </row>
    <row r="10" spans="1:13">
      <c r="E10" s="31" t="s">
        <v>1240</v>
      </c>
    </row>
    <row r="11" spans="1:13">
      <c r="E11" s="31" t="s">
        <v>1096</v>
      </c>
    </row>
    <row r="12" spans="1:13">
      <c r="E12" s="31" t="s">
        <v>1241</v>
      </c>
    </row>
    <row r="13" spans="1:13">
      <c r="E13" s="31" t="s">
        <v>1097</v>
      </c>
    </row>
    <row r="17" spans="1:5" ht="18">
      <c r="A17" s="21" t="s">
        <v>81</v>
      </c>
      <c r="B17" s="22"/>
    </row>
    <row r="18" spans="1:5" ht="15">
      <c r="A18" s="23" t="s">
        <v>82</v>
      </c>
      <c r="B18" s="24"/>
    </row>
    <row r="19" spans="1:5" ht="14.25">
      <c r="A19" s="26"/>
      <c r="B19" s="27" t="s">
        <v>83</v>
      </c>
    </row>
    <row r="20" spans="1:5" ht="15">
      <c r="A20" s="28" t="s">
        <v>0</v>
      </c>
      <c r="B20" s="28" t="s">
        <v>84</v>
      </c>
      <c r="C20" s="28" t="s">
        <v>85</v>
      </c>
      <c r="D20" s="28" t="s">
        <v>86</v>
      </c>
      <c r="E20" s="28" t="s">
        <v>11</v>
      </c>
    </row>
    <row r="21" spans="1:5">
      <c r="A21" s="25" t="s">
        <v>405</v>
      </c>
      <c r="B21" s="5" t="s">
        <v>83</v>
      </c>
      <c r="C21" s="5" t="s">
        <v>96</v>
      </c>
      <c r="D21" s="5" t="s">
        <v>274</v>
      </c>
      <c r="E21" s="29" t="s">
        <v>508</v>
      </c>
    </row>
    <row r="23" spans="1:5" ht="14.25">
      <c r="A23" s="26"/>
      <c r="B23" s="27" t="s">
        <v>100</v>
      </c>
    </row>
    <row r="24" spans="1:5" ht="15">
      <c r="A24" s="28" t="s">
        <v>0</v>
      </c>
      <c r="B24" s="28" t="s">
        <v>84</v>
      </c>
      <c r="C24" s="28" t="s">
        <v>85</v>
      </c>
      <c r="D24" s="28" t="s">
        <v>86</v>
      </c>
      <c r="E24" s="28" t="s">
        <v>11</v>
      </c>
    </row>
    <row r="25" spans="1:5">
      <c r="A25" s="25" t="s">
        <v>405</v>
      </c>
      <c r="B25" s="42" t="s">
        <v>1229</v>
      </c>
      <c r="C25" s="5" t="s">
        <v>96</v>
      </c>
      <c r="D25" s="5" t="s">
        <v>274</v>
      </c>
      <c r="E25" s="29" t="s">
        <v>508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E8" sqref="E8:F12"/>
    </sheetView>
  </sheetViews>
  <sheetFormatPr defaultRowHeight="12.75"/>
  <cols>
    <col min="1" max="1" width="27" style="4" bestFit="1" customWidth="1"/>
    <col min="2" max="2" width="30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15.85546875" style="4" bestFit="1" customWidth="1"/>
    <col min="7" max="7" width="6.5703125" style="5" bestFit="1" customWidth="1"/>
    <col min="8" max="8" width="6.5703125" style="5" customWidth="1"/>
    <col min="9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54" t="s">
        <v>1104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.1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0</v>
      </c>
      <c r="B3" s="62" t="s">
        <v>10</v>
      </c>
      <c r="C3" s="62" t="s">
        <v>8</v>
      </c>
      <c r="D3" s="48" t="s">
        <v>11</v>
      </c>
      <c r="E3" s="48" t="s">
        <v>1</v>
      </c>
      <c r="F3" s="63" t="s">
        <v>12</v>
      </c>
      <c r="G3" s="60" t="s">
        <v>4</v>
      </c>
      <c r="H3" s="48"/>
      <c r="I3" s="48"/>
      <c r="J3" s="50"/>
      <c r="K3" s="46" t="s">
        <v>108</v>
      </c>
      <c r="L3" s="48" t="s">
        <v>6</v>
      </c>
      <c r="M3" s="50" t="s">
        <v>5</v>
      </c>
    </row>
    <row r="4" spans="1:13" s="1" customFormat="1" ht="23.25" customHeight="1" thickBot="1">
      <c r="A4" s="61"/>
      <c r="B4" s="49"/>
      <c r="C4" s="49"/>
      <c r="D4" s="49"/>
      <c r="E4" s="49"/>
      <c r="F4" s="64"/>
      <c r="G4" s="6">
        <v>1</v>
      </c>
      <c r="H4" s="7">
        <v>2</v>
      </c>
      <c r="I4" s="7">
        <v>3</v>
      </c>
      <c r="J4" s="8" t="s">
        <v>7</v>
      </c>
      <c r="K4" s="47"/>
      <c r="L4" s="49"/>
      <c r="M4" s="51"/>
    </row>
    <row r="5" spans="1:13" s="5" customFormat="1" ht="15">
      <c r="A5" s="52" t="s">
        <v>23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4"/>
    </row>
    <row r="6" spans="1:13" s="5" customFormat="1">
      <c r="A6" s="19" t="s">
        <v>406</v>
      </c>
      <c r="B6" s="44" t="s">
        <v>1233</v>
      </c>
      <c r="C6" s="16" t="s">
        <v>407</v>
      </c>
      <c r="D6" s="16" t="str">
        <f>"0,5853"</f>
        <v>0,5853</v>
      </c>
      <c r="E6" s="19" t="s">
        <v>28</v>
      </c>
      <c r="F6" s="19" t="s">
        <v>408</v>
      </c>
      <c r="G6" s="16" t="s">
        <v>50</v>
      </c>
      <c r="H6" s="16" t="s">
        <v>289</v>
      </c>
      <c r="I6" s="16" t="s">
        <v>274</v>
      </c>
      <c r="J6" s="20"/>
      <c r="K6" s="19" t="str">
        <f>"235,0"</f>
        <v>235,0</v>
      </c>
      <c r="L6" s="16" t="str">
        <f>"137,5455"</f>
        <v>137,5455</v>
      </c>
      <c r="M6" s="19"/>
    </row>
    <row r="7" spans="1:13" s="5" customFormat="1">
      <c r="A7" s="4"/>
      <c r="E7" s="4"/>
      <c r="F7" s="4"/>
      <c r="K7" s="4"/>
      <c r="M7" s="4"/>
    </row>
    <row r="8" spans="1:13">
      <c r="E8" s="31" t="s">
        <v>1095</v>
      </c>
    </row>
    <row r="9" spans="1:13">
      <c r="E9" s="31" t="s">
        <v>1240</v>
      </c>
    </row>
    <row r="10" spans="1:13">
      <c r="E10" s="31" t="s">
        <v>1096</v>
      </c>
    </row>
    <row r="11" spans="1:13">
      <c r="E11" s="31" t="s">
        <v>1241</v>
      </c>
    </row>
    <row r="12" spans="1:13">
      <c r="E12" s="31" t="s">
        <v>1097</v>
      </c>
    </row>
    <row r="16" spans="1:13" ht="18">
      <c r="A16" s="21" t="s">
        <v>81</v>
      </c>
      <c r="B16" s="22"/>
    </row>
    <row r="17" spans="1:5" ht="15">
      <c r="A17" s="23" t="s">
        <v>82</v>
      </c>
      <c r="B17" s="24"/>
    </row>
    <row r="18" spans="1:5" ht="14.25">
      <c r="A18" s="26"/>
      <c r="B18" s="27" t="s">
        <v>100</v>
      </c>
    </row>
    <row r="19" spans="1:5" ht="15">
      <c r="A19" s="28" t="s">
        <v>0</v>
      </c>
      <c r="B19" s="28" t="s">
        <v>84</v>
      </c>
      <c r="C19" s="28" t="s">
        <v>85</v>
      </c>
      <c r="D19" s="28" t="s">
        <v>86</v>
      </c>
      <c r="E19" s="28" t="s">
        <v>11</v>
      </c>
    </row>
    <row r="20" spans="1:5">
      <c r="A20" s="25" t="s">
        <v>405</v>
      </c>
      <c r="B20" s="42" t="s">
        <v>1229</v>
      </c>
      <c r="C20" s="5" t="s">
        <v>96</v>
      </c>
      <c r="D20" s="5" t="s">
        <v>274</v>
      </c>
      <c r="E20" s="29" t="s">
        <v>508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9"/>
  <sheetViews>
    <sheetView topLeftCell="A57" workbookViewId="0">
      <selection activeCell="E64" sqref="E64:F68"/>
    </sheetView>
  </sheetViews>
  <sheetFormatPr defaultRowHeight="12.75"/>
  <cols>
    <col min="1" max="1" width="27" style="4" bestFit="1" customWidth="1"/>
    <col min="2" max="2" width="30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20" style="4" bestFit="1" customWidth="1"/>
    <col min="7" max="7" width="6.5703125" style="5" bestFit="1" customWidth="1"/>
    <col min="8" max="8" width="6.5703125" style="5" customWidth="1"/>
    <col min="9" max="10" width="6.5703125" style="5" bestFit="1" customWidth="1"/>
    <col min="11" max="11" width="6.140625" style="4" bestFit="1" customWidth="1"/>
    <col min="12" max="12" width="8.5703125" style="5" bestFit="1" customWidth="1"/>
    <col min="13" max="13" width="12.140625" style="4" bestFit="1" customWidth="1"/>
    <col min="14" max="16384" width="9.140625" style="3"/>
  </cols>
  <sheetData>
    <row r="1" spans="1:13" s="2" customFormat="1" ht="29.1" customHeight="1">
      <c r="A1" s="54" t="s">
        <v>1105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.1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0</v>
      </c>
      <c r="B3" s="62" t="s">
        <v>10</v>
      </c>
      <c r="C3" s="62" t="s">
        <v>8</v>
      </c>
      <c r="D3" s="48" t="s">
        <v>11</v>
      </c>
      <c r="E3" s="48" t="s">
        <v>1</v>
      </c>
      <c r="F3" s="63" t="s">
        <v>12</v>
      </c>
      <c r="G3" s="60" t="s">
        <v>4</v>
      </c>
      <c r="H3" s="48"/>
      <c r="I3" s="48"/>
      <c r="J3" s="50"/>
      <c r="K3" s="46" t="s">
        <v>108</v>
      </c>
      <c r="L3" s="48" t="s">
        <v>6</v>
      </c>
      <c r="M3" s="50" t="s">
        <v>5</v>
      </c>
    </row>
    <row r="4" spans="1:13" s="1" customFormat="1" ht="23.25" customHeight="1" thickBot="1">
      <c r="A4" s="61"/>
      <c r="B4" s="49"/>
      <c r="C4" s="49"/>
      <c r="D4" s="49"/>
      <c r="E4" s="49"/>
      <c r="F4" s="64"/>
      <c r="G4" s="6">
        <v>1</v>
      </c>
      <c r="H4" s="7">
        <v>2</v>
      </c>
      <c r="I4" s="7">
        <v>3</v>
      </c>
      <c r="J4" s="8" t="s">
        <v>7</v>
      </c>
      <c r="K4" s="47"/>
      <c r="L4" s="49"/>
      <c r="M4" s="51"/>
    </row>
    <row r="5" spans="1:13" s="5" customFormat="1" ht="15">
      <c r="A5" s="52" t="s">
        <v>307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4"/>
    </row>
    <row r="6" spans="1:13" s="5" customFormat="1">
      <c r="A6" s="19" t="s">
        <v>309</v>
      </c>
      <c r="B6" s="16" t="s">
        <v>310</v>
      </c>
      <c r="C6" s="16" t="s">
        <v>311</v>
      </c>
      <c r="D6" s="16" t="str">
        <f>"1,0370"</f>
        <v>1,0370</v>
      </c>
      <c r="E6" s="19" t="s">
        <v>28</v>
      </c>
      <c r="F6" s="19" t="s">
        <v>29</v>
      </c>
      <c r="G6" s="16" t="s">
        <v>312</v>
      </c>
      <c r="H6" s="16" t="s">
        <v>313</v>
      </c>
      <c r="I6" s="16" t="s">
        <v>314</v>
      </c>
      <c r="J6" s="20"/>
      <c r="K6" s="19" t="str">
        <f>"107,5"</f>
        <v>107,5</v>
      </c>
      <c r="L6" s="16" t="str">
        <f>"111,4775"</f>
        <v>111,4775</v>
      </c>
      <c r="M6" s="19"/>
    </row>
    <row r="7" spans="1:13" s="5" customFormat="1">
      <c r="A7" s="4"/>
      <c r="E7" s="4"/>
      <c r="F7" s="4"/>
      <c r="K7" s="4"/>
      <c r="M7" s="4"/>
    </row>
    <row r="8" spans="1:13" ht="15">
      <c r="A8" s="45" t="s">
        <v>315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3">
      <c r="A9" s="9" t="s">
        <v>317</v>
      </c>
      <c r="B9" s="10" t="s">
        <v>318</v>
      </c>
      <c r="C9" s="10" t="s">
        <v>319</v>
      </c>
      <c r="D9" s="10" t="str">
        <f>"0,9686"</f>
        <v>0,9686</v>
      </c>
      <c r="E9" s="9" t="s">
        <v>219</v>
      </c>
      <c r="F9" s="9" t="s">
        <v>29</v>
      </c>
      <c r="G9" s="10" t="s">
        <v>320</v>
      </c>
      <c r="H9" s="10" t="s">
        <v>257</v>
      </c>
      <c r="I9" s="10" t="s">
        <v>135</v>
      </c>
      <c r="J9" s="11"/>
      <c r="K9" s="9" t="str">
        <f>"85,0"</f>
        <v>85,0</v>
      </c>
      <c r="L9" s="10" t="str">
        <f>"82,3310"</f>
        <v>82,3310</v>
      </c>
      <c r="M9" s="9"/>
    </row>
    <row r="10" spans="1:13">
      <c r="A10" s="12" t="s">
        <v>322</v>
      </c>
      <c r="B10" s="13" t="s">
        <v>323</v>
      </c>
      <c r="C10" s="13" t="s">
        <v>324</v>
      </c>
      <c r="D10" s="13" t="str">
        <f>"0,9825"</f>
        <v>0,9825</v>
      </c>
      <c r="E10" s="12" t="s">
        <v>219</v>
      </c>
      <c r="F10" s="12" t="s">
        <v>29</v>
      </c>
      <c r="G10" s="13" t="s">
        <v>325</v>
      </c>
      <c r="H10" s="14" t="s">
        <v>235</v>
      </c>
      <c r="I10" s="13" t="s">
        <v>235</v>
      </c>
      <c r="J10" s="14"/>
      <c r="K10" s="12" t="str">
        <f>"95,0"</f>
        <v>95,0</v>
      </c>
      <c r="L10" s="13" t="str">
        <f>"93,3375"</f>
        <v>93,3375</v>
      </c>
      <c r="M10" s="12"/>
    </row>
    <row r="12" spans="1:13" ht="15">
      <c r="A12" s="45" t="s">
        <v>130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3">
      <c r="A13" s="19" t="s">
        <v>327</v>
      </c>
      <c r="B13" s="16" t="s">
        <v>328</v>
      </c>
      <c r="C13" s="16" t="s">
        <v>329</v>
      </c>
      <c r="D13" s="16" t="str">
        <f>"0,8800"</f>
        <v>0,8800</v>
      </c>
      <c r="E13" s="19" t="s">
        <v>219</v>
      </c>
      <c r="F13" s="19" t="s">
        <v>29</v>
      </c>
      <c r="G13" s="20" t="s">
        <v>258</v>
      </c>
      <c r="H13" s="16" t="s">
        <v>258</v>
      </c>
      <c r="I13" s="16" t="s">
        <v>220</v>
      </c>
      <c r="J13" s="20"/>
      <c r="K13" s="19" t="str">
        <f>"110,0"</f>
        <v>110,0</v>
      </c>
      <c r="L13" s="16" t="str">
        <f>"96,8000"</f>
        <v>96,8000</v>
      </c>
      <c r="M13" s="19"/>
    </row>
    <row r="15" spans="1:13" ht="15">
      <c r="A15" s="45" t="s">
        <v>137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3">
      <c r="A16" s="9" t="s">
        <v>331</v>
      </c>
      <c r="B16" s="10" t="s">
        <v>332</v>
      </c>
      <c r="C16" s="10" t="s">
        <v>333</v>
      </c>
      <c r="D16" s="10" t="str">
        <f>"0,7827"</f>
        <v>0,7827</v>
      </c>
      <c r="E16" s="9" t="s">
        <v>219</v>
      </c>
      <c r="F16" s="9" t="s">
        <v>29</v>
      </c>
      <c r="G16" s="10" t="s">
        <v>257</v>
      </c>
      <c r="H16" s="10" t="s">
        <v>135</v>
      </c>
      <c r="I16" s="11" t="s">
        <v>325</v>
      </c>
      <c r="J16" s="11"/>
      <c r="K16" s="9" t="str">
        <f>"85,0"</f>
        <v>85,0</v>
      </c>
      <c r="L16" s="10" t="str">
        <f>"66,5295"</f>
        <v>66,5295</v>
      </c>
      <c r="M16" s="9"/>
    </row>
    <row r="17" spans="1:13">
      <c r="A17" s="12" t="s">
        <v>335</v>
      </c>
      <c r="B17" s="13" t="s">
        <v>336</v>
      </c>
      <c r="C17" s="13" t="s">
        <v>337</v>
      </c>
      <c r="D17" s="13" t="str">
        <f>"0,7837"</f>
        <v>0,7837</v>
      </c>
      <c r="E17" s="12" t="s">
        <v>28</v>
      </c>
      <c r="F17" s="12" t="s">
        <v>29</v>
      </c>
      <c r="G17" s="14" t="s">
        <v>338</v>
      </c>
      <c r="H17" s="13" t="s">
        <v>339</v>
      </c>
      <c r="I17" s="14" t="s">
        <v>340</v>
      </c>
      <c r="J17" s="14"/>
      <c r="K17" s="12" t="str">
        <f>"127,5"</f>
        <v>127,5</v>
      </c>
      <c r="L17" s="13" t="str">
        <f>"99,9217"</f>
        <v>99,9217</v>
      </c>
      <c r="M17" s="12"/>
    </row>
    <row r="19" spans="1:13" ht="15">
      <c r="A19" s="45" t="s">
        <v>155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3">
      <c r="A20" s="9" t="s">
        <v>342</v>
      </c>
      <c r="B20" s="10" t="s">
        <v>343</v>
      </c>
      <c r="C20" s="10" t="s">
        <v>344</v>
      </c>
      <c r="D20" s="10" t="str">
        <f>"0,7301"</f>
        <v>0,7301</v>
      </c>
      <c r="E20" s="9" t="s">
        <v>28</v>
      </c>
      <c r="F20" s="9" t="s">
        <v>29</v>
      </c>
      <c r="G20" s="10" t="s">
        <v>345</v>
      </c>
      <c r="H20" s="10" t="s">
        <v>346</v>
      </c>
      <c r="I20" s="11" t="s">
        <v>347</v>
      </c>
      <c r="J20" s="11"/>
      <c r="K20" s="9" t="str">
        <f>"112,5"</f>
        <v>112,5</v>
      </c>
      <c r="L20" s="10" t="str">
        <f>"82,1362"</f>
        <v>82,1362</v>
      </c>
      <c r="M20" s="9"/>
    </row>
    <row r="21" spans="1:13">
      <c r="A21" s="12" t="s">
        <v>349</v>
      </c>
      <c r="B21" s="13" t="s">
        <v>350</v>
      </c>
      <c r="C21" s="13" t="s">
        <v>159</v>
      </c>
      <c r="D21" s="13" t="str">
        <f>"0,7258"</f>
        <v>0,7258</v>
      </c>
      <c r="E21" s="12" t="s">
        <v>219</v>
      </c>
      <c r="F21" s="12" t="s">
        <v>29</v>
      </c>
      <c r="G21" s="13" t="s">
        <v>320</v>
      </c>
      <c r="H21" s="13" t="s">
        <v>135</v>
      </c>
      <c r="I21" s="13" t="s">
        <v>136</v>
      </c>
      <c r="J21" s="14"/>
      <c r="K21" s="12" t="str">
        <f>"92,5"</f>
        <v>92,5</v>
      </c>
      <c r="L21" s="13" t="str">
        <f>"67,1365"</f>
        <v>67,1365</v>
      </c>
      <c r="M21" s="12"/>
    </row>
    <row r="23" spans="1:13" ht="15">
      <c r="A23" s="45" t="s">
        <v>13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3">
      <c r="A24" s="19" t="s">
        <v>352</v>
      </c>
      <c r="B24" s="16" t="s">
        <v>353</v>
      </c>
      <c r="C24" s="16" t="s">
        <v>354</v>
      </c>
      <c r="D24" s="16" t="str">
        <f>"0,6731"</f>
        <v>0,6731</v>
      </c>
      <c r="E24" s="19" t="s">
        <v>28</v>
      </c>
      <c r="F24" s="19" t="s">
        <v>29</v>
      </c>
      <c r="G24" s="16" t="s">
        <v>152</v>
      </c>
      <c r="H24" s="16" t="s">
        <v>125</v>
      </c>
      <c r="I24" s="16" t="s">
        <v>262</v>
      </c>
      <c r="J24" s="20"/>
      <c r="K24" s="19" t="str">
        <f>"130,0"</f>
        <v>130,0</v>
      </c>
      <c r="L24" s="16" t="str">
        <f>"87,5030"</f>
        <v>87,5030</v>
      </c>
      <c r="M24" s="19"/>
    </row>
    <row r="26" spans="1:13" ht="15">
      <c r="A26" s="45" t="s">
        <v>137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3">
      <c r="A27" s="19" t="s">
        <v>356</v>
      </c>
      <c r="B27" s="16" t="s">
        <v>357</v>
      </c>
      <c r="C27" s="16" t="s">
        <v>358</v>
      </c>
      <c r="D27" s="16" t="str">
        <f>"0,7492"</f>
        <v>0,7492</v>
      </c>
      <c r="E27" s="19" t="s">
        <v>28</v>
      </c>
      <c r="F27" s="19" t="s">
        <v>359</v>
      </c>
      <c r="G27" s="16" t="s">
        <v>170</v>
      </c>
      <c r="H27" s="20"/>
      <c r="I27" s="20"/>
      <c r="J27" s="20"/>
      <c r="K27" s="19" t="str">
        <f>"155,0"</f>
        <v>155,0</v>
      </c>
      <c r="L27" s="16" t="str">
        <f>"116,1260"</f>
        <v>116,1260</v>
      </c>
      <c r="M27" s="19"/>
    </row>
    <row r="29" spans="1:13" ht="15">
      <c r="A29" s="45" t="s">
        <v>155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3">
      <c r="A30" s="9" t="s">
        <v>361</v>
      </c>
      <c r="B30" s="10" t="s">
        <v>362</v>
      </c>
      <c r="C30" s="10" t="s">
        <v>363</v>
      </c>
      <c r="D30" s="10" t="str">
        <f>"0,6680"</f>
        <v>0,6680</v>
      </c>
      <c r="E30" s="9" t="s">
        <v>28</v>
      </c>
      <c r="F30" s="9" t="s">
        <v>29</v>
      </c>
      <c r="G30" s="10" t="s">
        <v>364</v>
      </c>
      <c r="H30" s="10" t="s">
        <v>365</v>
      </c>
      <c r="I30" s="10" t="s">
        <v>366</v>
      </c>
      <c r="J30" s="11" t="s">
        <v>367</v>
      </c>
      <c r="K30" s="9" t="str">
        <f>"232,5"</f>
        <v>232,5</v>
      </c>
      <c r="L30" s="10" t="str">
        <f>"155,3100"</f>
        <v>155,3100</v>
      </c>
      <c r="M30" s="9"/>
    </row>
    <row r="31" spans="1:13">
      <c r="A31" s="17" t="s">
        <v>369</v>
      </c>
      <c r="B31" s="15" t="s">
        <v>370</v>
      </c>
      <c r="C31" s="15" t="s">
        <v>371</v>
      </c>
      <c r="D31" s="15" t="str">
        <f>"0,6659"</f>
        <v>0,6659</v>
      </c>
      <c r="E31" s="17" t="s">
        <v>28</v>
      </c>
      <c r="F31" s="17" t="s">
        <v>29</v>
      </c>
      <c r="G31" s="15" t="s">
        <v>49</v>
      </c>
      <c r="H31" s="15" t="s">
        <v>372</v>
      </c>
      <c r="I31" s="18" t="s">
        <v>373</v>
      </c>
      <c r="J31" s="18"/>
      <c r="K31" s="17" t="str">
        <f>"202,5"</f>
        <v>202,5</v>
      </c>
      <c r="L31" s="15" t="str">
        <f>"134,8447"</f>
        <v>134,8447</v>
      </c>
      <c r="M31" s="17"/>
    </row>
    <row r="32" spans="1:13">
      <c r="A32" s="17" t="s">
        <v>375</v>
      </c>
      <c r="B32" s="15" t="s">
        <v>376</v>
      </c>
      <c r="C32" s="15" t="s">
        <v>344</v>
      </c>
      <c r="D32" s="15" t="str">
        <f>"0,6730"</f>
        <v>0,6730</v>
      </c>
      <c r="E32" s="17" t="s">
        <v>219</v>
      </c>
      <c r="F32" s="17" t="s">
        <v>29</v>
      </c>
      <c r="G32" s="18" t="s">
        <v>193</v>
      </c>
      <c r="H32" s="18" t="s">
        <v>193</v>
      </c>
      <c r="I32" s="18" t="s">
        <v>193</v>
      </c>
      <c r="J32" s="18"/>
      <c r="K32" s="17" t="str">
        <f>"0.00"</f>
        <v>0.00</v>
      </c>
      <c r="L32" s="15" t="str">
        <f>"0,0000"</f>
        <v>0,0000</v>
      </c>
      <c r="M32" s="17"/>
    </row>
    <row r="33" spans="1:13">
      <c r="A33" s="17" t="s">
        <v>361</v>
      </c>
      <c r="B33" s="43" t="s">
        <v>1234</v>
      </c>
      <c r="C33" s="15" t="s">
        <v>363</v>
      </c>
      <c r="D33" s="15" t="str">
        <f>"0,6680"</f>
        <v>0,6680</v>
      </c>
      <c r="E33" s="17" t="s">
        <v>28</v>
      </c>
      <c r="F33" s="17" t="s">
        <v>29</v>
      </c>
      <c r="G33" s="15" t="s">
        <v>364</v>
      </c>
      <c r="H33" s="15" t="s">
        <v>365</v>
      </c>
      <c r="I33" s="15" t="s">
        <v>366</v>
      </c>
      <c r="J33" s="18" t="s">
        <v>367</v>
      </c>
      <c r="K33" s="17" t="str">
        <f>"232,5"</f>
        <v>232,5</v>
      </c>
      <c r="L33" s="15" t="str">
        <f>"155,3100"</f>
        <v>155,3100</v>
      </c>
      <c r="M33" s="17"/>
    </row>
    <row r="34" spans="1:13">
      <c r="A34" s="12" t="s">
        <v>378</v>
      </c>
      <c r="B34" s="13" t="s">
        <v>379</v>
      </c>
      <c r="C34" s="13" t="s">
        <v>371</v>
      </c>
      <c r="D34" s="13" t="str">
        <f>"0,6659"</f>
        <v>0,6659</v>
      </c>
      <c r="E34" s="12" t="s">
        <v>28</v>
      </c>
      <c r="F34" s="12" t="s">
        <v>29</v>
      </c>
      <c r="G34" s="13" t="s">
        <v>30</v>
      </c>
      <c r="H34" s="14" t="s">
        <v>380</v>
      </c>
      <c r="I34" s="14"/>
      <c r="J34" s="14"/>
      <c r="K34" s="12" t="str">
        <f>"210,0"</f>
        <v>210,0</v>
      </c>
      <c r="L34" s="13" t="str">
        <f>"144,1740"</f>
        <v>144,1740</v>
      </c>
      <c r="M34" s="12"/>
    </row>
    <row r="36" spans="1:13" ht="15">
      <c r="A36" s="45" t="s">
        <v>13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3">
      <c r="A37" s="9" t="s">
        <v>382</v>
      </c>
      <c r="B37" s="10" t="s">
        <v>265</v>
      </c>
      <c r="C37" s="10" t="s">
        <v>383</v>
      </c>
      <c r="D37" s="10" t="str">
        <f>"0,6301"</f>
        <v>0,6301</v>
      </c>
      <c r="E37" s="9" t="s">
        <v>28</v>
      </c>
      <c r="F37" s="9" t="s">
        <v>384</v>
      </c>
      <c r="G37" s="10" t="s">
        <v>385</v>
      </c>
      <c r="H37" s="10" t="s">
        <v>161</v>
      </c>
      <c r="I37" s="11" t="s">
        <v>193</v>
      </c>
      <c r="J37" s="11"/>
      <c r="K37" s="9" t="str">
        <f>"162,5"</f>
        <v>162,5</v>
      </c>
      <c r="L37" s="10" t="str">
        <f>"102,3913"</f>
        <v>102,3913</v>
      </c>
      <c r="M37" s="9"/>
    </row>
    <row r="38" spans="1:13">
      <c r="A38" s="17" t="s">
        <v>387</v>
      </c>
      <c r="B38" s="15" t="s">
        <v>388</v>
      </c>
      <c r="C38" s="15" t="s">
        <v>389</v>
      </c>
      <c r="D38" s="15" t="str">
        <f>"0,6382"</f>
        <v>0,6382</v>
      </c>
      <c r="E38" s="17" t="s">
        <v>28</v>
      </c>
      <c r="F38" s="17" t="s">
        <v>29</v>
      </c>
      <c r="G38" s="15" t="s">
        <v>390</v>
      </c>
      <c r="H38" s="18"/>
      <c r="I38" s="18"/>
      <c r="J38" s="18"/>
      <c r="K38" s="17" t="str">
        <f>"185,0"</f>
        <v>185,0</v>
      </c>
      <c r="L38" s="15" t="str">
        <f>"118,0670"</f>
        <v>118,0670</v>
      </c>
      <c r="M38" s="17" t="s">
        <v>391</v>
      </c>
    </row>
    <row r="39" spans="1:13">
      <c r="A39" s="17" t="s">
        <v>393</v>
      </c>
      <c r="B39" s="15" t="s">
        <v>394</v>
      </c>
      <c r="C39" s="15" t="s">
        <v>395</v>
      </c>
      <c r="D39" s="15" t="str">
        <f>"0,6198"</f>
        <v>0,6198</v>
      </c>
      <c r="E39" s="17" t="s">
        <v>28</v>
      </c>
      <c r="F39" s="17" t="s">
        <v>29</v>
      </c>
      <c r="G39" s="15" t="s">
        <v>176</v>
      </c>
      <c r="H39" s="15" t="s">
        <v>206</v>
      </c>
      <c r="I39" s="15" t="s">
        <v>396</v>
      </c>
      <c r="J39" s="18"/>
      <c r="K39" s="17" t="str">
        <f>"195,0"</f>
        <v>195,0</v>
      </c>
      <c r="L39" s="15" t="str">
        <f>"120,8610"</f>
        <v>120,8610</v>
      </c>
      <c r="M39" s="17"/>
    </row>
    <row r="40" spans="1:13">
      <c r="A40" s="12" t="s">
        <v>398</v>
      </c>
      <c r="B40" s="13" t="s">
        <v>399</v>
      </c>
      <c r="C40" s="13" t="s">
        <v>400</v>
      </c>
      <c r="D40" s="13" t="str">
        <f>"0,6352"</f>
        <v>0,6352</v>
      </c>
      <c r="E40" s="12" t="s">
        <v>28</v>
      </c>
      <c r="F40" s="12" t="s">
        <v>384</v>
      </c>
      <c r="G40" s="13" t="s">
        <v>168</v>
      </c>
      <c r="H40" s="13" t="s">
        <v>249</v>
      </c>
      <c r="I40" s="13" t="s">
        <v>187</v>
      </c>
      <c r="J40" s="14"/>
      <c r="K40" s="12" t="str">
        <f>"162,5"</f>
        <v>162,5</v>
      </c>
      <c r="L40" s="13" t="str">
        <f>"103,2200"</f>
        <v>103,2200</v>
      </c>
      <c r="M40" s="12"/>
    </row>
    <row r="42" spans="1:13" ht="15">
      <c r="A42" s="45" t="s">
        <v>23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3">
      <c r="A43" s="9" t="s">
        <v>402</v>
      </c>
      <c r="B43" s="10" t="s">
        <v>403</v>
      </c>
      <c r="C43" s="10" t="s">
        <v>404</v>
      </c>
      <c r="D43" s="10" t="str">
        <f>"0,6041"</f>
        <v>0,6041</v>
      </c>
      <c r="E43" s="9" t="s">
        <v>28</v>
      </c>
      <c r="F43" s="9" t="s">
        <v>151</v>
      </c>
      <c r="G43" s="10" t="s">
        <v>180</v>
      </c>
      <c r="H43" s="10" t="s">
        <v>97</v>
      </c>
      <c r="I43" s="10" t="s">
        <v>274</v>
      </c>
      <c r="J43" s="11"/>
      <c r="K43" s="9" t="str">
        <f>"235,0"</f>
        <v>235,0</v>
      </c>
      <c r="L43" s="10" t="str">
        <f>"141,9635"</f>
        <v>141,9635</v>
      </c>
      <c r="M43" s="9"/>
    </row>
    <row r="44" spans="1:13">
      <c r="A44" s="17" t="s">
        <v>406</v>
      </c>
      <c r="B44" s="43" t="s">
        <v>1233</v>
      </c>
      <c r="C44" s="15" t="s">
        <v>407</v>
      </c>
      <c r="D44" s="15" t="str">
        <f>"0,5853"</f>
        <v>0,5853</v>
      </c>
      <c r="E44" s="17" t="s">
        <v>28</v>
      </c>
      <c r="F44" s="17" t="s">
        <v>408</v>
      </c>
      <c r="G44" s="15" t="s">
        <v>289</v>
      </c>
      <c r="H44" s="15" t="s">
        <v>410</v>
      </c>
      <c r="I44" s="15" t="s">
        <v>115</v>
      </c>
      <c r="J44" s="15" t="s">
        <v>411</v>
      </c>
      <c r="K44" s="17" t="str">
        <f>"242,5"</f>
        <v>242,5</v>
      </c>
      <c r="L44" s="15" t="str">
        <f>"141,9353"</f>
        <v>141,9353</v>
      </c>
      <c r="M44" s="17"/>
    </row>
    <row r="45" spans="1:13">
      <c r="A45" s="17" t="s">
        <v>413</v>
      </c>
      <c r="B45" s="15" t="s">
        <v>414</v>
      </c>
      <c r="C45" s="15" t="s">
        <v>415</v>
      </c>
      <c r="D45" s="15" t="str">
        <f>"0,5983"</f>
        <v>0,5983</v>
      </c>
      <c r="E45" s="17" t="s">
        <v>18</v>
      </c>
      <c r="F45" s="17" t="s">
        <v>29</v>
      </c>
      <c r="G45" s="18" t="s">
        <v>180</v>
      </c>
      <c r="H45" s="18"/>
      <c r="I45" s="18"/>
      <c r="J45" s="18"/>
      <c r="K45" s="17" t="str">
        <f>"0.00"</f>
        <v>0.00</v>
      </c>
      <c r="L45" s="15" t="str">
        <f>"0,0000"</f>
        <v>0,0000</v>
      </c>
      <c r="M45" s="17"/>
    </row>
    <row r="46" spans="1:13">
      <c r="A46" s="12" t="s">
        <v>417</v>
      </c>
      <c r="B46" s="13" t="s">
        <v>418</v>
      </c>
      <c r="C46" s="13" t="s">
        <v>419</v>
      </c>
      <c r="D46" s="13" t="str">
        <f>"0,5960"</f>
        <v>0,5960</v>
      </c>
      <c r="E46" s="12" t="s">
        <v>219</v>
      </c>
      <c r="F46" s="12" t="s">
        <v>29</v>
      </c>
      <c r="G46" s="13" t="s">
        <v>276</v>
      </c>
      <c r="H46" s="13" t="s">
        <v>249</v>
      </c>
      <c r="I46" s="14" t="s">
        <v>170</v>
      </c>
      <c r="J46" s="14"/>
      <c r="K46" s="12" t="str">
        <f>"150,0"</f>
        <v>150,0</v>
      </c>
      <c r="L46" s="13" t="str">
        <f>"156,8970"</f>
        <v>156,8970</v>
      </c>
      <c r="M46" s="12"/>
    </row>
    <row r="48" spans="1:13" ht="15">
      <c r="A48" s="45" t="s">
        <v>52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3">
      <c r="A49" s="9" t="s">
        <v>421</v>
      </c>
      <c r="B49" s="10" t="s">
        <v>422</v>
      </c>
      <c r="C49" s="10" t="s">
        <v>423</v>
      </c>
      <c r="D49" s="10" t="str">
        <f>"0,5723"</f>
        <v>0,5723</v>
      </c>
      <c r="E49" s="9" t="s">
        <v>28</v>
      </c>
      <c r="F49" s="9" t="s">
        <v>29</v>
      </c>
      <c r="G49" s="10" t="s">
        <v>239</v>
      </c>
      <c r="H49" s="11" t="s">
        <v>424</v>
      </c>
      <c r="I49" s="11" t="s">
        <v>424</v>
      </c>
      <c r="J49" s="11"/>
      <c r="K49" s="9" t="str">
        <f>"220,0"</f>
        <v>220,0</v>
      </c>
      <c r="L49" s="10" t="str">
        <f>"125,9060"</f>
        <v>125,9060</v>
      </c>
      <c r="M49" s="9"/>
    </row>
    <row r="50" spans="1:13">
      <c r="A50" s="17" t="s">
        <v>426</v>
      </c>
      <c r="B50" s="15" t="s">
        <v>427</v>
      </c>
      <c r="C50" s="15" t="s">
        <v>198</v>
      </c>
      <c r="D50" s="15" t="str">
        <f>"0,5754"</f>
        <v>0,5754</v>
      </c>
      <c r="E50" s="17" t="s">
        <v>28</v>
      </c>
      <c r="F50" s="17" t="s">
        <v>29</v>
      </c>
      <c r="G50" s="15" t="s">
        <v>50</v>
      </c>
      <c r="H50" s="15" t="s">
        <v>428</v>
      </c>
      <c r="I50" s="18" t="s">
        <v>239</v>
      </c>
      <c r="J50" s="18"/>
      <c r="K50" s="17" t="str">
        <f>"212,5"</f>
        <v>212,5</v>
      </c>
      <c r="L50" s="15" t="str">
        <f>"122,2725"</f>
        <v>122,2725</v>
      </c>
      <c r="M50" s="17"/>
    </row>
    <row r="51" spans="1:13">
      <c r="A51" s="17" t="s">
        <v>430</v>
      </c>
      <c r="B51" s="15" t="s">
        <v>431</v>
      </c>
      <c r="C51" s="15" t="s">
        <v>432</v>
      </c>
      <c r="D51" s="15" t="str">
        <f>"0,5555"</f>
        <v>0,5555</v>
      </c>
      <c r="E51" s="17" t="s">
        <v>28</v>
      </c>
      <c r="F51" s="17" t="s">
        <v>29</v>
      </c>
      <c r="G51" s="15" t="s">
        <v>79</v>
      </c>
      <c r="H51" s="15" t="s">
        <v>396</v>
      </c>
      <c r="I51" s="15" t="s">
        <v>372</v>
      </c>
      <c r="J51" s="18"/>
      <c r="K51" s="17" t="str">
        <f>"202,5"</f>
        <v>202,5</v>
      </c>
      <c r="L51" s="15" t="str">
        <f>"112,4887"</f>
        <v>112,4887</v>
      </c>
      <c r="M51" s="17"/>
    </row>
    <row r="52" spans="1:13">
      <c r="A52" s="12" t="s">
        <v>434</v>
      </c>
      <c r="B52" s="41" t="s">
        <v>1228</v>
      </c>
      <c r="C52" s="13" t="s">
        <v>435</v>
      </c>
      <c r="D52" s="13" t="str">
        <f>"0,5648"</f>
        <v>0,5648</v>
      </c>
      <c r="E52" s="12" t="s">
        <v>28</v>
      </c>
      <c r="F52" s="12" t="s">
        <v>436</v>
      </c>
      <c r="G52" s="13" t="s">
        <v>372</v>
      </c>
      <c r="H52" s="14"/>
      <c r="I52" s="14"/>
      <c r="J52" s="14"/>
      <c r="K52" s="12" t="str">
        <f>"202,5"</f>
        <v>202,5</v>
      </c>
      <c r="L52" s="13" t="str">
        <f>"114,3720"</f>
        <v>114,3720</v>
      </c>
      <c r="M52" s="12"/>
    </row>
    <row r="54" spans="1:13" ht="15">
      <c r="A54" s="45" t="s">
        <v>66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3">
      <c r="A55" s="19" t="s">
        <v>438</v>
      </c>
      <c r="B55" s="16" t="s">
        <v>439</v>
      </c>
      <c r="C55" s="16" t="s">
        <v>440</v>
      </c>
      <c r="D55" s="16" t="str">
        <f>"0,5381"</f>
        <v>0,5381</v>
      </c>
      <c r="E55" s="19" t="s">
        <v>28</v>
      </c>
      <c r="F55" s="19" t="s">
        <v>441</v>
      </c>
      <c r="G55" s="16" t="s">
        <v>442</v>
      </c>
      <c r="H55" s="20" t="s">
        <v>40</v>
      </c>
      <c r="I55" s="20"/>
      <c r="J55" s="20"/>
      <c r="K55" s="19" t="str">
        <f>"207,5"</f>
        <v>207,5</v>
      </c>
      <c r="L55" s="16" t="str">
        <f>"119,3600"</f>
        <v>119,3600</v>
      </c>
      <c r="M55" s="19"/>
    </row>
    <row r="57" spans="1:13" ht="15">
      <c r="A57" s="45" t="s">
        <v>74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1:13">
      <c r="A58" s="9" t="s">
        <v>444</v>
      </c>
      <c r="B58" s="10" t="s">
        <v>445</v>
      </c>
      <c r="C58" s="10" t="s">
        <v>446</v>
      </c>
      <c r="D58" s="10" t="str">
        <f>"0,5303"</f>
        <v>0,5303</v>
      </c>
      <c r="E58" s="9" t="s">
        <v>28</v>
      </c>
      <c r="F58" s="9" t="s">
        <v>29</v>
      </c>
      <c r="G58" s="10" t="s">
        <v>176</v>
      </c>
      <c r="H58" s="11"/>
      <c r="I58" s="11"/>
      <c r="J58" s="11"/>
      <c r="K58" s="9" t="str">
        <f>"175,0"</f>
        <v>175,0</v>
      </c>
      <c r="L58" s="10" t="str">
        <f>"92,8025"</f>
        <v>92,8025</v>
      </c>
      <c r="M58" s="9"/>
    </row>
    <row r="59" spans="1:13">
      <c r="A59" s="17" t="s">
        <v>448</v>
      </c>
      <c r="B59" s="15" t="s">
        <v>449</v>
      </c>
      <c r="C59" s="15" t="s">
        <v>78</v>
      </c>
      <c r="D59" s="15" t="str">
        <f>"0,5305"</f>
        <v>0,5305</v>
      </c>
      <c r="E59" s="17" t="s">
        <v>28</v>
      </c>
      <c r="F59" s="17" t="s">
        <v>450</v>
      </c>
      <c r="G59" s="15" t="s">
        <v>290</v>
      </c>
      <c r="H59" s="18"/>
      <c r="I59" s="18"/>
      <c r="J59" s="18"/>
      <c r="K59" s="17" t="str">
        <f>"250,0"</f>
        <v>250,0</v>
      </c>
      <c r="L59" s="15" t="str">
        <f>"132,6250"</f>
        <v>132,6250</v>
      </c>
      <c r="M59" s="17"/>
    </row>
    <row r="60" spans="1:13">
      <c r="A60" s="17" t="s">
        <v>452</v>
      </c>
      <c r="B60" s="15" t="s">
        <v>453</v>
      </c>
      <c r="C60" s="15" t="s">
        <v>454</v>
      </c>
      <c r="D60" s="15" t="str">
        <f>"0,5221"</f>
        <v>0,5221</v>
      </c>
      <c r="E60" s="17" t="s">
        <v>28</v>
      </c>
      <c r="F60" s="17" t="s">
        <v>436</v>
      </c>
      <c r="G60" s="15" t="s">
        <v>455</v>
      </c>
      <c r="H60" s="15" t="s">
        <v>456</v>
      </c>
      <c r="I60" s="18" t="s">
        <v>457</v>
      </c>
      <c r="J60" s="18"/>
      <c r="K60" s="17" t="str">
        <f>"325,0"</f>
        <v>325,0</v>
      </c>
      <c r="L60" s="15" t="str">
        <f>"169,6825"</f>
        <v>169,6825</v>
      </c>
      <c r="M60" s="17"/>
    </row>
    <row r="61" spans="1:13">
      <c r="A61" s="17" t="s">
        <v>459</v>
      </c>
      <c r="B61" s="15" t="s">
        <v>460</v>
      </c>
      <c r="C61" s="15" t="s">
        <v>461</v>
      </c>
      <c r="D61" s="15" t="str">
        <f>"0,5289"</f>
        <v>0,5289</v>
      </c>
      <c r="E61" s="17" t="s">
        <v>28</v>
      </c>
      <c r="F61" s="17" t="s">
        <v>462</v>
      </c>
      <c r="G61" s="15" t="s">
        <v>463</v>
      </c>
      <c r="H61" s="15" t="s">
        <v>464</v>
      </c>
      <c r="I61" s="18" t="s">
        <v>116</v>
      </c>
      <c r="J61" s="18"/>
      <c r="K61" s="17" t="str">
        <f>"250,0"</f>
        <v>250,0</v>
      </c>
      <c r="L61" s="15" t="str">
        <f>"132,2250"</f>
        <v>132,2250</v>
      </c>
      <c r="M61" s="17"/>
    </row>
    <row r="62" spans="1:13">
      <c r="A62" s="12" t="s">
        <v>466</v>
      </c>
      <c r="B62" s="41" t="s">
        <v>1232</v>
      </c>
      <c r="C62" s="13" t="s">
        <v>467</v>
      </c>
      <c r="D62" s="13" t="str">
        <f>"0,5227"</f>
        <v>0,5227</v>
      </c>
      <c r="E62" s="12" t="s">
        <v>28</v>
      </c>
      <c r="F62" s="12" t="s">
        <v>468</v>
      </c>
      <c r="G62" s="14" t="s">
        <v>40</v>
      </c>
      <c r="H62" s="13" t="s">
        <v>40</v>
      </c>
      <c r="I62" s="13" t="s">
        <v>409</v>
      </c>
      <c r="J62" s="14"/>
      <c r="K62" s="12" t="str">
        <f>"225,0"</f>
        <v>225,0</v>
      </c>
      <c r="L62" s="13" t="str">
        <f>"117,6075"</f>
        <v>117,6075</v>
      </c>
      <c r="M62" s="12"/>
    </row>
    <row r="64" spans="1:13">
      <c r="E64" s="31" t="s">
        <v>1095</v>
      </c>
    </row>
    <row r="65" spans="1:5">
      <c r="E65" s="31" t="s">
        <v>1240</v>
      </c>
    </row>
    <row r="66" spans="1:5">
      <c r="E66" s="31" t="s">
        <v>1096</v>
      </c>
    </row>
    <row r="67" spans="1:5">
      <c r="E67" s="31" t="s">
        <v>1241</v>
      </c>
    </row>
    <row r="68" spans="1:5">
      <c r="E68" s="31" t="s">
        <v>1097</v>
      </c>
    </row>
    <row r="72" spans="1:5" ht="18">
      <c r="A72" s="21" t="s">
        <v>81</v>
      </c>
      <c r="B72" s="22"/>
    </row>
    <row r="73" spans="1:5" ht="15">
      <c r="A73" s="23" t="s">
        <v>229</v>
      </c>
      <c r="B73" s="24"/>
    </row>
    <row r="74" spans="1:5" ht="14.25">
      <c r="A74" s="26"/>
      <c r="B74" s="27" t="s">
        <v>295</v>
      </c>
    </row>
    <row r="75" spans="1:5" ht="15">
      <c r="A75" s="28" t="s">
        <v>0</v>
      </c>
      <c r="B75" s="28" t="s">
        <v>84</v>
      </c>
      <c r="C75" s="28" t="s">
        <v>85</v>
      </c>
      <c r="D75" s="28" t="s">
        <v>86</v>
      </c>
      <c r="E75" s="28" t="s">
        <v>11</v>
      </c>
    </row>
    <row r="76" spans="1:5">
      <c r="A76" s="25" t="s">
        <v>330</v>
      </c>
      <c r="B76" s="5" t="s">
        <v>469</v>
      </c>
      <c r="C76" s="5" t="s">
        <v>234</v>
      </c>
      <c r="D76" s="5" t="s">
        <v>135</v>
      </c>
      <c r="E76" s="29" t="s">
        <v>470</v>
      </c>
    </row>
    <row r="78" spans="1:5" ht="14.25">
      <c r="A78" s="26"/>
      <c r="B78" s="27" t="s">
        <v>471</v>
      </c>
    </row>
    <row r="79" spans="1:5" ht="15">
      <c r="A79" s="28" t="s">
        <v>0</v>
      </c>
      <c r="B79" s="28" t="s">
        <v>84</v>
      </c>
      <c r="C79" s="28" t="s">
        <v>85</v>
      </c>
      <c r="D79" s="28" t="s">
        <v>86</v>
      </c>
      <c r="E79" s="28" t="s">
        <v>11</v>
      </c>
    </row>
    <row r="80" spans="1:5">
      <c r="A80" s="25" t="s">
        <v>334</v>
      </c>
      <c r="B80" s="5" t="s">
        <v>472</v>
      </c>
      <c r="C80" s="5" t="s">
        <v>234</v>
      </c>
      <c r="D80" s="5" t="s">
        <v>338</v>
      </c>
      <c r="E80" s="29" t="s">
        <v>473</v>
      </c>
    </row>
    <row r="81" spans="1:5">
      <c r="A81" s="25" t="s">
        <v>316</v>
      </c>
      <c r="B81" s="5" t="s">
        <v>472</v>
      </c>
      <c r="C81" s="5" t="s">
        <v>474</v>
      </c>
      <c r="D81" s="5" t="s">
        <v>135</v>
      </c>
      <c r="E81" s="29" t="s">
        <v>475</v>
      </c>
    </row>
    <row r="82" spans="1:5">
      <c r="A82" s="25" t="s">
        <v>341</v>
      </c>
      <c r="B82" s="5" t="s">
        <v>472</v>
      </c>
      <c r="C82" s="5" t="s">
        <v>241</v>
      </c>
      <c r="D82" s="5" t="s">
        <v>346</v>
      </c>
      <c r="E82" s="29" t="s">
        <v>476</v>
      </c>
    </row>
    <row r="84" spans="1:5" ht="14.25">
      <c r="A84" s="26"/>
      <c r="B84" s="27" t="s">
        <v>83</v>
      </c>
    </row>
    <row r="85" spans="1:5" ht="15">
      <c r="A85" s="28" t="s">
        <v>0</v>
      </c>
      <c r="B85" s="28" t="s">
        <v>84</v>
      </c>
      <c r="C85" s="28" t="s">
        <v>85</v>
      </c>
      <c r="D85" s="28" t="s">
        <v>86</v>
      </c>
      <c r="E85" s="28" t="s">
        <v>11</v>
      </c>
    </row>
    <row r="86" spans="1:5">
      <c r="A86" s="25" t="s">
        <v>308</v>
      </c>
      <c r="B86" s="5" t="s">
        <v>83</v>
      </c>
      <c r="C86" s="5" t="s">
        <v>477</v>
      </c>
      <c r="D86" s="5" t="s">
        <v>478</v>
      </c>
      <c r="E86" s="29" t="s">
        <v>479</v>
      </c>
    </row>
    <row r="87" spans="1:5">
      <c r="A87" s="25" t="s">
        <v>326</v>
      </c>
      <c r="B87" s="5" t="s">
        <v>83</v>
      </c>
      <c r="C87" s="5" t="s">
        <v>232</v>
      </c>
      <c r="D87" s="5" t="s">
        <v>220</v>
      </c>
      <c r="E87" s="29" t="s">
        <v>480</v>
      </c>
    </row>
    <row r="88" spans="1:5">
      <c r="A88" s="25" t="s">
        <v>321</v>
      </c>
      <c r="B88" s="5" t="s">
        <v>83</v>
      </c>
      <c r="C88" s="5" t="s">
        <v>474</v>
      </c>
      <c r="D88" s="5" t="s">
        <v>235</v>
      </c>
      <c r="E88" s="29" t="s">
        <v>481</v>
      </c>
    </row>
    <row r="89" spans="1:5">
      <c r="A89" s="25" t="s">
        <v>351</v>
      </c>
      <c r="B89" s="5" t="s">
        <v>83</v>
      </c>
      <c r="C89" s="5" t="s">
        <v>87</v>
      </c>
      <c r="D89" s="5" t="s">
        <v>222</v>
      </c>
      <c r="E89" s="29" t="s">
        <v>482</v>
      </c>
    </row>
    <row r="90" spans="1:5">
      <c r="A90" s="25" t="s">
        <v>348</v>
      </c>
      <c r="B90" s="5" t="s">
        <v>83</v>
      </c>
      <c r="C90" s="5" t="s">
        <v>241</v>
      </c>
      <c r="D90" s="5" t="s">
        <v>136</v>
      </c>
      <c r="E90" s="29" t="s">
        <v>483</v>
      </c>
    </row>
    <row r="93" spans="1:5" ht="15">
      <c r="A93" s="23" t="s">
        <v>82</v>
      </c>
      <c r="B93" s="24"/>
    </row>
    <row r="94" spans="1:5" ht="14.25">
      <c r="A94" s="26"/>
      <c r="B94" s="27" t="s">
        <v>295</v>
      </c>
    </row>
    <row r="95" spans="1:5" ht="15">
      <c r="A95" s="28" t="s">
        <v>0</v>
      </c>
      <c r="B95" s="28" t="s">
        <v>84</v>
      </c>
      <c r="C95" s="28" t="s">
        <v>85</v>
      </c>
      <c r="D95" s="28" t="s">
        <v>86</v>
      </c>
      <c r="E95" s="28" t="s">
        <v>11</v>
      </c>
    </row>
    <row r="96" spans="1:5">
      <c r="A96" s="25" t="s">
        <v>355</v>
      </c>
      <c r="B96" s="5" t="s">
        <v>469</v>
      </c>
      <c r="C96" s="5" t="s">
        <v>234</v>
      </c>
      <c r="D96" s="5" t="s">
        <v>170</v>
      </c>
      <c r="E96" s="29" t="s">
        <v>484</v>
      </c>
    </row>
    <row r="97" spans="1:5">
      <c r="A97" s="25" t="s">
        <v>381</v>
      </c>
      <c r="B97" s="5" t="s">
        <v>296</v>
      </c>
      <c r="C97" s="5" t="s">
        <v>87</v>
      </c>
      <c r="D97" s="5" t="s">
        <v>187</v>
      </c>
      <c r="E97" s="29" t="s">
        <v>485</v>
      </c>
    </row>
    <row r="98" spans="1:5">
      <c r="A98" s="25" t="s">
        <v>443</v>
      </c>
      <c r="B98" s="5" t="s">
        <v>486</v>
      </c>
      <c r="C98" s="5" t="s">
        <v>106</v>
      </c>
      <c r="D98" s="5" t="s">
        <v>194</v>
      </c>
      <c r="E98" s="29" t="s">
        <v>487</v>
      </c>
    </row>
    <row r="100" spans="1:5" ht="14.25">
      <c r="A100" s="26"/>
      <c r="B100" s="27" t="s">
        <v>471</v>
      </c>
    </row>
    <row r="101" spans="1:5" ht="15">
      <c r="A101" s="28" t="s">
        <v>0</v>
      </c>
      <c r="B101" s="28" t="s">
        <v>84</v>
      </c>
      <c r="C101" s="28" t="s">
        <v>85</v>
      </c>
      <c r="D101" s="28" t="s">
        <v>86</v>
      </c>
      <c r="E101" s="28" t="s">
        <v>11</v>
      </c>
    </row>
    <row r="102" spans="1:5">
      <c r="A102" s="25" t="s">
        <v>447</v>
      </c>
      <c r="B102" s="5" t="s">
        <v>472</v>
      </c>
      <c r="C102" s="5" t="s">
        <v>106</v>
      </c>
      <c r="D102" s="5" t="s">
        <v>464</v>
      </c>
      <c r="E102" s="29" t="s">
        <v>488</v>
      </c>
    </row>
    <row r="103" spans="1:5">
      <c r="A103" s="25" t="s">
        <v>420</v>
      </c>
      <c r="B103" s="5" t="s">
        <v>472</v>
      </c>
      <c r="C103" s="5" t="s">
        <v>89</v>
      </c>
      <c r="D103" s="5" t="s">
        <v>239</v>
      </c>
      <c r="E103" s="29" t="s">
        <v>489</v>
      </c>
    </row>
    <row r="104" spans="1:5">
      <c r="A104" s="25" t="s">
        <v>386</v>
      </c>
      <c r="B104" s="5" t="s">
        <v>472</v>
      </c>
      <c r="C104" s="5" t="s">
        <v>87</v>
      </c>
      <c r="D104" s="5" t="s">
        <v>390</v>
      </c>
      <c r="E104" s="29" t="s">
        <v>490</v>
      </c>
    </row>
    <row r="106" spans="1:5" ht="14.25">
      <c r="A106" s="26"/>
      <c r="B106" s="27" t="s">
        <v>83</v>
      </c>
    </row>
    <row r="107" spans="1:5" ht="15">
      <c r="A107" s="28" t="s">
        <v>0</v>
      </c>
      <c r="B107" s="28" t="s">
        <v>84</v>
      </c>
      <c r="C107" s="28" t="s">
        <v>85</v>
      </c>
      <c r="D107" s="28" t="s">
        <v>86</v>
      </c>
      <c r="E107" s="28" t="s">
        <v>11</v>
      </c>
    </row>
    <row r="108" spans="1:5">
      <c r="A108" s="25" t="s">
        <v>451</v>
      </c>
      <c r="B108" s="5" t="s">
        <v>83</v>
      </c>
      <c r="C108" s="5" t="s">
        <v>106</v>
      </c>
      <c r="D108" s="5" t="s">
        <v>491</v>
      </c>
      <c r="E108" s="29" t="s">
        <v>492</v>
      </c>
    </row>
    <row r="109" spans="1:5">
      <c r="A109" s="25" t="s">
        <v>360</v>
      </c>
      <c r="B109" s="5" t="s">
        <v>83</v>
      </c>
      <c r="C109" s="5" t="s">
        <v>241</v>
      </c>
      <c r="D109" s="5" t="s">
        <v>424</v>
      </c>
      <c r="E109" s="29" t="s">
        <v>493</v>
      </c>
    </row>
    <row r="110" spans="1:5">
      <c r="A110" s="25" t="s">
        <v>401</v>
      </c>
      <c r="B110" s="5" t="s">
        <v>83</v>
      </c>
      <c r="C110" s="5" t="s">
        <v>96</v>
      </c>
      <c r="D110" s="5" t="s">
        <v>274</v>
      </c>
      <c r="E110" s="29" t="s">
        <v>494</v>
      </c>
    </row>
    <row r="111" spans="1:5">
      <c r="A111" s="25" t="s">
        <v>368</v>
      </c>
      <c r="B111" s="5" t="s">
        <v>83</v>
      </c>
      <c r="C111" s="5" t="s">
        <v>241</v>
      </c>
      <c r="D111" s="5" t="s">
        <v>372</v>
      </c>
      <c r="E111" s="29" t="s">
        <v>495</v>
      </c>
    </row>
    <row r="112" spans="1:5">
      <c r="A112" s="25" t="s">
        <v>458</v>
      </c>
      <c r="B112" s="5" t="s">
        <v>83</v>
      </c>
      <c r="C112" s="5" t="s">
        <v>106</v>
      </c>
      <c r="D112" s="5" t="s">
        <v>464</v>
      </c>
      <c r="E112" s="29" t="s">
        <v>496</v>
      </c>
    </row>
    <row r="113" spans="1:5">
      <c r="A113" s="25" t="s">
        <v>425</v>
      </c>
      <c r="B113" s="5" t="s">
        <v>83</v>
      </c>
      <c r="C113" s="5" t="s">
        <v>89</v>
      </c>
      <c r="D113" s="5" t="s">
        <v>497</v>
      </c>
      <c r="E113" s="29" t="s">
        <v>498</v>
      </c>
    </row>
    <row r="114" spans="1:5">
      <c r="A114" s="25" t="s">
        <v>392</v>
      </c>
      <c r="B114" s="5" t="s">
        <v>83</v>
      </c>
      <c r="C114" s="5" t="s">
        <v>87</v>
      </c>
      <c r="D114" s="5" t="s">
        <v>179</v>
      </c>
      <c r="E114" s="29" t="s">
        <v>499</v>
      </c>
    </row>
    <row r="115" spans="1:5">
      <c r="A115" s="25" t="s">
        <v>429</v>
      </c>
      <c r="B115" s="5" t="s">
        <v>83</v>
      </c>
      <c r="C115" s="5" t="s">
        <v>89</v>
      </c>
      <c r="D115" s="5" t="s">
        <v>372</v>
      </c>
      <c r="E115" s="29" t="s">
        <v>500</v>
      </c>
    </row>
    <row r="116" spans="1:5">
      <c r="A116" s="25" t="s">
        <v>397</v>
      </c>
      <c r="B116" s="5" t="s">
        <v>83</v>
      </c>
      <c r="C116" s="5" t="s">
        <v>87</v>
      </c>
      <c r="D116" s="5" t="s">
        <v>187</v>
      </c>
      <c r="E116" s="29" t="s">
        <v>501</v>
      </c>
    </row>
    <row r="118" spans="1:5" ht="14.25">
      <c r="A118" s="26"/>
      <c r="B118" s="27" t="s">
        <v>100</v>
      </c>
    </row>
    <row r="119" spans="1:5" ht="15">
      <c r="A119" s="28" t="s">
        <v>0</v>
      </c>
      <c r="B119" s="28" t="s">
        <v>84</v>
      </c>
      <c r="C119" s="28" t="s">
        <v>85</v>
      </c>
      <c r="D119" s="28" t="s">
        <v>86</v>
      </c>
      <c r="E119" s="28" t="s">
        <v>11</v>
      </c>
    </row>
    <row r="120" spans="1:5">
      <c r="A120" s="25" t="s">
        <v>360</v>
      </c>
      <c r="B120" s="42" t="s">
        <v>1229</v>
      </c>
      <c r="C120" s="5" t="s">
        <v>241</v>
      </c>
      <c r="D120" s="5" t="s">
        <v>424</v>
      </c>
      <c r="E120" s="29" t="s">
        <v>493</v>
      </c>
    </row>
    <row r="121" spans="1:5">
      <c r="A121" s="25" t="s">
        <v>405</v>
      </c>
      <c r="B121" s="42" t="s">
        <v>1229</v>
      </c>
      <c r="C121" s="5" t="s">
        <v>96</v>
      </c>
      <c r="D121" s="5" t="s">
        <v>118</v>
      </c>
      <c r="E121" s="29" t="s">
        <v>502</v>
      </c>
    </row>
    <row r="122" spans="1:5">
      <c r="A122" s="25" t="s">
        <v>465</v>
      </c>
      <c r="B122" s="42" t="s">
        <v>1229</v>
      </c>
      <c r="C122" s="5" t="s">
        <v>106</v>
      </c>
      <c r="D122" s="5" t="s">
        <v>409</v>
      </c>
      <c r="E122" s="29" t="s">
        <v>503</v>
      </c>
    </row>
    <row r="123" spans="1:5">
      <c r="A123" s="25" t="s">
        <v>433</v>
      </c>
      <c r="B123" s="42" t="s">
        <v>1229</v>
      </c>
      <c r="C123" s="5" t="s">
        <v>89</v>
      </c>
      <c r="D123" s="5" t="s">
        <v>372</v>
      </c>
      <c r="E123" s="29" t="s">
        <v>504</v>
      </c>
    </row>
    <row r="125" spans="1:5" ht="14.25">
      <c r="A125" s="26"/>
      <c r="B125" s="27" t="s">
        <v>102</v>
      </c>
    </row>
    <row r="126" spans="1:5" ht="15">
      <c r="A126" s="28" t="s">
        <v>0</v>
      </c>
      <c r="B126" s="28" t="s">
        <v>84</v>
      </c>
      <c r="C126" s="28" t="s">
        <v>85</v>
      </c>
      <c r="D126" s="28" t="s">
        <v>86</v>
      </c>
      <c r="E126" s="28" t="s">
        <v>11</v>
      </c>
    </row>
    <row r="127" spans="1:5">
      <c r="A127" s="25" t="s">
        <v>416</v>
      </c>
      <c r="B127" s="5" t="s">
        <v>105</v>
      </c>
      <c r="C127" s="5" t="s">
        <v>96</v>
      </c>
      <c r="D127" s="5" t="s">
        <v>249</v>
      </c>
      <c r="E127" s="29" t="s">
        <v>505</v>
      </c>
    </row>
    <row r="128" spans="1:5">
      <c r="A128" s="25" t="s">
        <v>377</v>
      </c>
      <c r="B128" s="5" t="s">
        <v>248</v>
      </c>
      <c r="C128" s="5" t="s">
        <v>241</v>
      </c>
      <c r="D128" s="5" t="s">
        <v>180</v>
      </c>
      <c r="E128" s="29" t="s">
        <v>506</v>
      </c>
    </row>
    <row r="129" spans="1:5">
      <c r="A129" s="25" t="s">
        <v>437</v>
      </c>
      <c r="B129" s="5" t="s">
        <v>252</v>
      </c>
      <c r="C129" s="5" t="s">
        <v>93</v>
      </c>
      <c r="D129" s="5" t="s">
        <v>373</v>
      </c>
      <c r="E129" s="29" t="s">
        <v>507</v>
      </c>
    </row>
  </sheetData>
  <mergeCells count="24"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42:L42"/>
    <mergeCell ref="A48:L48"/>
    <mergeCell ref="A54:L54"/>
    <mergeCell ref="A57:L57"/>
    <mergeCell ref="A15:L15"/>
    <mergeCell ref="A19:L19"/>
    <mergeCell ref="A23:L23"/>
    <mergeCell ref="A26:L26"/>
    <mergeCell ref="A29:L29"/>
    <mergeCell ref="A36:L3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4"/>
  <sheetViews>
    <sheetView topLeftCell="A19" workbookViewId="0">
      <selection activeCell="E22" sqref="E22:F26"/>
    </sheetView>
  </sheetViews>
  <sheetFormatPr defaultRowHeight="12.75"/>
  <cols>
    <col min="1" max="1" width="27" style="4" bestFit="1" customWidth="1"/>
    <col min="2" max="2" width="30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15.28515625" style="4" bestFit="1" customWidth="1"/>
    <col min="7" max="8" width="6.5703125" style="5" bestFit="1" customWidth="1"/>
    <col min="9" max="9" width="6.5703125" style="5" customWidth="1"/>
    <col min="10" max="10" width="5" style="5" bestFit="1" customWidth="1"/>
    <col min="11" max="11" width="6.5703125" style="5" bestFit="1" customWidth="1"/>
    <col min="12" max="12" width="6.5703125" style="5" customWidth="1"/>
    <col min="13" max="13" width="6.5703125" style="5" bestFit="1" customWidth="1"/>
    <col min="14" max="14" width="5" style="5" bestFit="1" customWidth="1"/>
    <col min="15" max="15" width="6.5703125" style="5" bestFit="1" customWidth="1"/>
    <col min="16" max="16" width="6.5703125" style="5" customWidth="1"/>
    <col min="17" max="17" width="6.5703125" style="5" bestFit="1" customWidth="1"/>
    <col min="18" max="18" width="5" style="5" bestFit="1" customWidth="1"/>
    <col min="19" max="19" width="6.140625" style="4" bestFit="1" customWidth="1"/>
    <col min="20" max="20" width="8.5703125" style="5" bestFit="1" customWidth="1"/>
    <col min="21" max="21" width="15.28515625" style="4" bestFit="1" customWidth="1"/>
    <col min="22" max="16384" width="9.140625" style="3"/>
  </cols>
  <sheetData>
    <row r="1" spans="1:21" s="2" customFormat="1" ht="29.1" customHeight="1">
      <c r="A1" s="54" t="s">
        <v>1106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</row>
    <row r="2" spans="1:21" s="2" customFormat="1" ht="62.1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9"/>
    </row>
    <row r="3" spans="1:21" s="1" customFormat="1" ht="12.75" customHeight="1">
      <c r="A3" s="60" t="s">
        <v>0</v>
      </c>
      <c r="B3" s="62" t="s">
        <v>10</v>
      </c>
      <c r="C3" s="62" t="s">
        <v>8</v>
      </c>
      <c r="D3" s="48" t="s">
        <v>11</v>
      </c>
      <c r="E3" s="48" t="s">
        <v>1</v>
      </c>
      <c r="F3" s="63" t="s">
        <v>12</v>
      </c>
      <c r="G3" s="60" t="s">
        <v>2</v>
      </c>
      <c r="H3" s="48"/>
      <c r="I3" s="48"/>
      <c r="J3" s="50"/>
      <c r="K3" s="60" t="s">
        <v>3</v>
      </c>
      <c r="L3" s="48"/>
      <c r="M3" s="48"/>
      <c r="N3" s="50"/>
      <c r="O3" s="60" t="s">
        <v>4</v>
      </c>
      <c r="P3" s="48"/>
      <c r="Q3" s="48"/>
      <c r="R3" s="50"/>
      <c r="S3" s="46" t="s">
        <v>9</v>
      </c>
      <c r="T3" s="48" t="s">
        <v>6</v>
      </c>
      <c r="U3" s="50" t="s">
        <v>5</v>
      </c>
    </row>
    <row r="4" spans="1:21" s="1" customFormat="1" ht="23.25" customHeight="1" thickBot="1">
      <c r="A4" s="61"/>
      <c r="B4" s="49"/>
      <c r="C4" s="49"/>
      <c r="D4" s="49"/>
      <c r="E4" s="49"/>
      <c r="F4" s="64"/>
      <c r="G4" s="6">
        <v>1</v>
      </c>
      <c r="H4" s="7">
        <v>2</v>
      </c>
      <c r="I4" s="7">
        <v>3</v>
      </c>
      <c r="J4" s="8" t="s">
        <v>7</v>
      </c>
      <c r="K4" s="6">
        <v>1</v>
      </c>
      <c r="L4" s="7">
        <v>2</v>
      </c>
      <c r="M4" s="7">
        <v>3</v>
      </c>
      <c r="N4" s="8" t="s">
        <v>7</v>
      </c>
      <c r="O4" s="6">
        <v>1</v>
      </c>
      <c r="P4" s="7">
        <v>2</v>
      </c>
      <c r="Q4" s="7">
        <v>3</v>
      </c>
      <c r="R4" s="8" t="s">
        <v>7</v>
      </c>
      <c r="S4" s="47"/>
      <c r="T4" s="49"/>
      <c r="U4" s="51"/>
    </row>
    <row r="5" spans="1:21" s="5" customFormat="1" ht="15">
      <c r="A5" s="52" t="s">
        <v>13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4"/>
    </row>
    <row r="6" spans="1:21" s="5" customFormat="1">
      <c r="A6" s="19" t="s">
        <v>255</v>
      </c>
      <c r="B6" s="16" t="s">
        <v>256</v>
      </c>
      <c r="C6" s="16" t="s">
        <v>17</v>
      </c>
      <c r="D6" s="16" t="str">
        <f>"0,6767"</f>
        <v>0,6767</v>
      </c>
      <c r="E6" s="19" t="s">
        <v>28</v>
      </c>
      <c r="F6" s="19" t="s">
        <v>29</v>
      </c>
      <c r="G6" s="20" t="s">
        <v>257</v>
      </c>
      <c r="H6" s="16" t="s">
        <v>144</v>
      </c>
      <c r="I6" s="16" t="s">
        <v>258</v>
      </c>
      <c r="J6" s="20"/>
      <c r="K6" s="16" t="s">
        <v>259</v>
      </c>
      <c r="L6" s="20" t="s">
        <v>260</v>
      </c>
      <c r="M6" s="20" t="s">
        <v>260</v>
      </c>
      <c r="N6" s="20"/>
      <c r="O6" s="16" t="s">
        <v>125</v>
      </c>
      <c r="P6" s="16" t="s">
        <v>261</v>
      </c>
      <c r="Q6" s="16" t="s">
        <v>262</v>
      </c>
      <c r="R6" s="20"/>
      <c r="S6" s="19" t="str">
        <f>"280,0"</f>
        <v>280,0</v>
      </c>
      <c r="T6" s="16" t="str">
        <f>"198,5708"</f>
        <v>198,5708</v>
      </c>
      <c r="U6" s="19"/>
    </row>
    <row r="7" spans="1:21" s="5" customFormat="1">
      <c r="A7" s="4"/>
      <c r="E7" s="4"/>
      <c r="F7" s="4"/>
      <c r="S7" s="4"/>
      <c r="U7" s="4"/>
    </row>
    <row r="8" spans="1:21" ht="15">
      <c r="A8" s="45" t="s">
        <v>155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1">
      <c r="A9" s="19" t="s">
        <v>264</v>
      </c>
      <c r="B9" s="16" t="s">
        <v>265</v>
      </c>
      <c r="C9" s="16" t="s">
        <v>266</v>
      </c>
      <c r="D9" s="16" t="str">
        <f>"0,6989"</f>
        <v>0,6989</v>
      </c>
      <c r="E9" s="19" t="s">
        <v>28</v>
      </c>
      <c r="F9" s="19" t="s">
        <v>37</v>
      </c>
      <c r="G9" s="20" t="s">
        <v>170</v>
      </c>
      <c r="H9" s="16" t="s">
        <v>126</v>
      </c>
      <c r="I9" s="20" t="s">
        <v>193</v>
      </c>
      <c r="J9" s="20"/>
      <c r="K9" s="16" t="s">
        <v>267</v>
      </c>
      <c r="L9" s="20" t="s">
        <v>220</v>
      </c>
      <c r="M9" s="16" t="s">
        <v>152</v>
      </c>
      <c r="N9" s="20"/>
      <c r="O9" s="16" t="s">
        <v>79</v>
      </c>
      <c r="P9" s="16" t="s">
        <v>49</v>
      </c>
      <c r="Q9" s="16" t="s">
        <v>268</v>
      </c>
      <c r="R9" s="20"/>
      <c r="S9" s="19" t="str">
        <f>"470,0"</f>
        <v>470,0</v>
      </c>
      <c r="T9" s="16" t="str">
        <f>"328,4830"</f>
        <v>328,4830</v>
      </c>
      <c r="U9" s="19"/>
    </row>
    <row r="11" spans="1:21" ht="15">
      <c r="A11" s="45" t="s">
        <v>23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</row>
    <row r="12" spans="1:21">
      <c r="A12" s="9" t="s">
        <v>270</v>
      </c>
      <c r="B12" s="10" t="s">
        <v>271</v>
      </c>
      <c r="C12" s="10" t="s">
        <v>272</v>
      </c>
      <c r="D12" s="10" t="str">
        <f>"0,5930"</f>
        <v>0,5930</v>
      </c>
      <c r="E12" s="9" t="s">
        <v>28</v>
      </c>
      <c r="F12" s="9" t="s">
        <v>273</v>
      </c>
      <c r="G12" s="10" t="s">
        <v>31</v>
      </c>
      <c r="H12" s="11" t="s">
        <v>274</v>
      </c>
      <c r="I12" s="11" t="s">
        <v>275</v>
      </c>
      <c r="J12" s="11"/>
      <c r="K12" s="10" t="s">
        <v>276</v>
      </c>
      <c r="L12" s="11" t="s">
        <v>249</v>
      </c>
      <c r="M12" s="11"/>
      <c r="N12" s="11"/>
      <c r="O12" s="11" t="s">
        <v>97</v>
      </c>
      <c r="P12" s="10" t="s">
        <v>32</v>
      </c>
      <c r="Q12" s="10" t="s">
        <v>277</v>
      </c>
      <c r="R12" s="11"/>
      <c r="S12" s="9" t="str">
        <f>"612,5"</f>
        <v>612,5</v>
      </c>
      <c r="T12" s="10" t="str">
        <f>"363,2125"</f>
        <v>363,2125</v>
      </c>
      <c r="U12" s="9"/>
    </row>
    <row r="13" spans="1:21">
      <c r="A13" s="12" t="s">
        <v>279</v>
      </c>
      <c r="B13" s="13" t="s">
        <v>280</v>
      </c>
      <c r="C13" s="13" t="s">
        <v>272</v>
      </c>
      <c r="D13" s="13" t="str">
        <f>"0,5930"</f>
        <v>0,5930</v>
      </c>
      <c r="E13" s="12" t="s">
        <v>28</v>
      </c>
      <c r="F13" s="12" t="s">
        <v>29</v>
      </c>
      <c r="G13" s="13" t="s">
        <v>79</v>
      </c>
      <c r="H13" s="13" t="s">
        <v>268</v>
      </c>
      <c r="I13" s="13" t="s">
        <v>30</v>
      </c>
      <c r="J13" s="14"/>
      <c r="K13" s="13" t="s">
        <v>281</v>
      </c>
      <c r="L13" s="13" t="s">
        <v>169</v>
      </c>
      <c r="M13" s="13" t="s">
        <v>126</v>
      </c>
      <c r="N13" s="14"/>
      <c r="O13" s="13" t="s">
        <v>126</v>
      </c>
      <c r="P13" s="13" t="s">
        <v>79</v>
      </c>
      <c r="Q13" s="13" t="s">
        <v>30</v>
      </c>
      <c r="R13" s="14"/>
      <c r="S13" s="12" t="str">
        <f>"580,0"</f>
        <v>580,0</v>
      </c>
      <c r="T13" s="13" t="str">
        <f>"343,9400"</f>
        <v>343,9400</v>
      </c>
      <c r="U13" s="12"/>
    </row>
    <row r="15" spans="1:21" ht="15">
      <c r="A15" s="45" t="s">
        <v>52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1">
      <c r="A16" s="9" t="s">
        <v>178</v>
      </c>
      <c r="B16" s="10" t="s">
        <v>63</v>
      </c>
      <c r="C16" s="10" t="s">
        <v>64</v>
      </c>
      <c r="D16" s="10" t="str">
        <f>"0,5616"</f>
        <v>0,5616</v>
      </c>
      <c r="E16" s="9" t="s">
        <v>18</v>
      </c>
      <c r="F16" s="9" t="s">
        <v>29</v>
      </c>
      <c r="G16" s="10" t="s">
        <v>275</v>
      </c>
      <c r="H16" s="10" t="s">
        <v>282</v>
      </c>
      <c r="I16" s="10" t="s">
        <v>283</v>
      </c>
      <c r="J16" s="11"/>
      <c r="K16" s="10" t="s">
        <v>179</v>
      </c>
      <c r="L16" s="10" t="s">
        <v>180</v>
      </c>
      <c r="M16" s="11" t="s">
        <v>40</v>
      </c>
      <c r="N16" s="11"/>
      <c r="O16" s="10" t="s">
        <v>284</v>
      </c>
      <c r="P16" s="10" t="s">
        <v>65</v>
      </c>
      <c r="Q16" s="11"/>
      <c r="R16" s="11"/>
      <c r="S16" s="9" t="str">
        <f>"785,0"</f>
        <v>785,0</v>
      </c>
      <c r="T16" s="10" t="str">
        <f>"440,8560"</f>
        <v>440,8560</v>
      </c>
      <c r="U16" s="9"/>
    </row>
    <row r="17" spans="1:21">
      <c r="A17" s="12" t="s">
        <v>178</v>
      </c>
      <c r="B17" s="41" t="s">
        <v>1235</v>
      </c>
      <c r="C17" s="13" t="s">
        <v>64</v>
      </c>
      <c r="D17" s="13" t="str">
        <f>"0,5616"</f>
        <v>0,5616</v>
      </c>
      <c r="E17" s="12" t="s">
        <v>18</v>
      </c>
      <c r="F17" s="12" t="s">
        <v>29</v>
      </c>
      <c r="G17" s="13" t="s">
        <v>275</v>
      </c>
      <c r="H17" s="13" t="s">
        <v>282</v>
      </c>
      <c r="I17" s="13" t="s">
        <v>283</v>
      </c>
      <c r="J17" s="14"/>
      <c r="K17" s="13" t="s">
        <v>179</v>
      </c>
      <c r="L17" s="13" t="s">
        <v>180</v>
      </c>
      <c r="M17" s="14" t="s">
        <v>40</v>
      </c>
      <c r="N17" s="14"/>
      <c r="O17" s="13" t="s">
        <v>284</v>
      </c>
      <c r="P17" s="13" t="s">
        <v>65</v>
      </c>
      <c r="Q17" s="14"/>
      <c r="R17" s="14"/>
      <c r="S17" s="12" t="str">
        <f>"785,0"</f>
        <v>785,0</v>
      </c>
      <c r="T17" s="13" t="str">
        <f>"440,8560"</f>
        <v>440,8560</v>
      </c>
      <c r="U17" s="12"/>
    </row>
    <row r="19" spans="1:21" ht="15">
      <c r="A19" s="45" t="s">
        <v>74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1">
      <c r="A20" s="19" t="s">
        <v>286</v>
      </c>
      <c r="B20" s="16" t="s">
        <v>287</v>
      </c>
      <c r="C20" s="16" t="s">
        <v>288</v>
      </c>
      <c r="D20" s="16" t="str">
        <f>"0,5314"</f>
        <v>0,5314</v>
      </c>
      <c r="E20" s="19" t="s">
        <v>28</v>
      </c>
      <c r="F20" s="19" t="s">
        <v>29</v>
      </c>
      <c r="G20" s="16" t="s">
        <v>289</v>
      </c>
      <c r="H20" s="16" t="s">
        <v>114</v>
      </c>
      <c r="I20" s="20" t="s">
        <v>275</v>
      </c>
      <c r="J20" s="20"/>
      <c r="K20" s="16" t="s">
        <v>126</v>
      </c>
      <c r="L20" s="16" t="s">
        <v>162</v>
      </c>
      <c r="M20" s="20" t="s">
        <v>193</v>
      </c>
      <c r="N20" s="20"/>
      <c r="O20" s="16" t="s">
        <v>290</v>
      </c>
      <c r="P20" s="16" t="s">
        <v>291</v>
      </c>
      <c r="Q20" s="16" t="s">
        <v>292</v>
      </c>
      <c r="R20" s="20"/>
      <c r="S20" s="19" t="str">
        <f>"675,0"</f>
        <v>675,0</v>
      </c>
      <c r="T20" s="16" t="str">
        <f>"358,6950"</f>
        <v>358,6950</v>
      </c>
      <c r="U20" s="19" t="s">
        <v>293</v>
      </c>
    </row>
    <row r="22" spans="1:21">
      <c r="E22" s="31" t="s">
        <v>1095</v>
      </c>
    </row>
    <row r="23" spans="1:21">
      <c r="E23" s="31" t="s">
        <v>1240</v>
      </c>
    </row>
    <row r="24" spans="1:21">
      <c r="E24" s="31" t="s">
        <v>1096</v>
      </c>
    </row>
    <row r="25" spans="1:21">
      <c r="E25" s="31" t="s">
        <v>1241</v>
      </c>
    </row>
    <row r="26" spans="1:21">
      <c r="E26" s="31" t="s">
        <v>1097</v>
      </c>
    </row>
    <row r="30" spans="1:21" ht="18">
      <c r="A30" s="21" t="s">
        <v>81</v>
      </c>
      <c r="B30" s="22"/>
    </row>
    <row r="31" spans="1:21" ht="15">
      <c r="A31" s="23" t="s">
        <v>229</v>
      </c>
      <c r="B31" s="24"/>
    </row>
    <row r="32" spans="1:21" ht="14.25">
      <c r="A32" s="26"/>
      <c r="B32" s="27" t="s">
        <v>102</v>
      </c>
    </row>
    <row r="33" spans="1:5" ht="15">
      <c r="A33" s="28" t="s">
        <v>0</v>
      </c>
      <c r="B33" s="28" t="s">
        <v>84</v>
      </c>
      <c r="C33" s="28" t="s">
        <v>85</v>
      </c>
      <c r="D33" s="28" t="s">
        <v>86</v>
      </c>
      <c r="E33" s="28" t="s">
        <v>11</v>
      </c>
    </row>
    <row r="34" spans="1:5">
      <c r="A34" s="25" t="s">
        <v>254</v>
      </c>
      <c r="B34" s="5" t="s">
        <v>252</v>
      </c>
      <c r="C34" s="5" t="s">
        <v>87</v>
      </c>
      <c r="D34" s="5" t="s">
        <v>20</v>
      </c>
      <c r="E34" s="29" t="s">
        <v>294</v>
      </c>
    </row>
    <row r="37" spans="1:5" ht="15">
      <c r="A37" s="23" t="s">
        <v>82</v>
      </c>
      <c r="B37" s="24"/>
    </row>
    <row r="38" spans="1:5" ht="14.25">
      <c r="A38" s="26"/>
      <c r="B38" s="27" t="s">
        <v>295</v>
      </c>
    </row>
    <row r="39" spans="1:5" ht="15">
      <c r="A39" s="28" t="s">
        <v>0</v>
      </c>
      <c r="B39" s="28" t="s">
        <v>84</v>
      </c>
      <c r="C39" s="28" t="s">
        <v>85</v>
      </c>
      <c r="D39" s="28" t="s">
        <v>86</v>
      </c>
      <c r="E39" s="28" t="s">
        <v>11</v>
      </c>
    </row>
    <row r="40" spans="1:5">
      <c r="A40" s="25" t="s">
        <v>263</v>
      </c>
      <c r="B40" s="5" t="s">
        <v>296</v>
      </c>
      <c r="C40" s="5" t="s">
        <v>241</v>
      </c>
      <c r="D40" s="5" t="s">
        <v>297</v>
      </c>
      <c r="E40" s="29" t="s">
        <v>298</v>
      </c>
    </row>
    <row r="42" spans="1:5" ht="14.25">
      <c r="A42" s="26"/>
      <c r="B42" s="27" t="s">
        <v>83</v>
      </c>
    </row>
    <row r="43" spans="1:5" ht="15">
      <c r="A43" s="28" t="s">
        <v>0</v>
      </c>
      <c r="B43" s="28" t="s">
        <v>84</v>
      </c>
      <c r="C43" s="28" t="s">
        <v>85</v>
      </c>
      <c r="D43" s="28" t="s">
        <v>86</v>
      </c>
      <c r="E43" s="28" t="s">
        <v>11</v>
      </c>
    </row>
    <row r="44" spans="1:5">
      <c r="A44" s="25" t="s">
        <v>61</v>
      </c>
      <c r="B44" s="5" t="s">
        <v>83</v>
      </c>
      <c r="C44" s="5" t="s">
        <v>89</v>
      </c>
      <c r="D44" s="5" t="s">
        <v>299</v>
      </c>
      <c r="E44" s="29" t="s">
        <v>300</v>
      </c>
    </row>
    <row r="45" spans="1:5">
      <c r="A45" s="25" t="s">
        <v>269</v>
      </c>
      <c r="B45" s="5" t="s">
        <v>83</v>
      </c>
      <c r="C45" s="5" t="s">
        <v>96</v>
      </c>
      <c r="D45" s="5" t="s">
        <v>301</v>
      </c>
      <c r="E45" s="29" t="s">
        <v>302</v>
      </c>
    </row>
    <row r="46" spans="1:5">
      <c r="A46" s="25" t="s">
        <v>285</v>
      </c>
      <c r="B46" s="5" t="s">
        <v>83</v>
      </c>
      <c r="C46" s="5" t="s">
        <v>106</v>
      </c>
      <c r="D46" s="5" t="s">
        <v>303</v>
      </c>
      <c r="E46" s="29" t="s">
        <v>304</v>
      </c>
    </row>
    <row r="48" spans="1:5" ht="14.25">
      <c r="A48" s="26"/>
      <c r="B48" s="27" t="s">
        <v>100</v>
      </c>
    </row>
    <row r="49" spans="1:5" ht="15">
      <c r="A49" s="28" t="s">
        <v>0</v>
      </c>
      <c r="B49" s="28" t="s">
        <v>84</v>
      </c>
      <c r="C49" s="28" t="s">
        <v>85</v>
      </c>
      <c r="D49" s="28" t="s">
        <v>86</v>
      </c>
      <c r="E49" s="28" t="s">
        <v>11</v>
      </c>
    </row>
    <row r="50" spans="1:5">
      <c r="A50" s="25" t="s">
        <v>61</v>
      </c>
      <c r="B50" s="42" t="s">
        <v>1229</v>
      </c>
      <c r="C50" s="5" t="s">
        <v>89</v>
      </c>
      <c r="D50" s="5" t="s">
        <v>299</v>
      </c>
      <c r="E50" s="29" t="s">
        <v>300</v>
      </c>
    </row>
    <row r="52" spans="1:5" ht="14.25">
      <c r="A52" s="26"/>
      <c r="B52" s="27" t="s">
        <v>102</v>
      </c>
    </row>
    <row r="53" spans="1:5" ht="15">
      <c r="A53" s="28" t="s">
        <v>0</v>
      </c>
      <c r="B53" s="28" t="s">
        <v>84</v>
      </c>
      <c r="C53" s="28" t="s">
        <v>85</v>
      </c>
      <c r="D53" s="28" t="s">
        <v>86</v>
      </c>
      <c r="E53" s="28" t="s">
        <v>11</v>
      </c>
    </row>
    <row r="54" spans="1:5">
      <c r="A54" s="25" t="s">
        <v>278</v>
      </c>
      <c r="B54" s="5" t="s">
        <v>248</v>
      </c>
      <c r="C54" s="5" t="s">
        <v>96</v>
      </c>
      <c r="D54" s="5" t="s">
        <v>305</v>
      </c>
      <c r="E54" s="29" t="s">
        <v>306</v>
      </c>
    </row>
  </sheetData>
  <mergeCells count="18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15:T15"/>
    <mergeCell ref="A19:T19"/>
    <mergeCell ref="S3:S4"/>
    <mergeCell ref="T3:T4"/>
    <mergeCell ref="U3:U4"/>
    <mergeCell ref="A5:T5"/>
    <mergeCell ref="A8:T8"/>
    <mergeCell ref="A11:T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AWPC std.soft eq. BP</vt:lpstr>
      <vt:lpstr>WPC std.soft eq. BP</vt:lpstr>
      <vt:lpstr>AWPA m.ply PL</vt:lpstr>
      <vt:lpstr>AWPA raw PL</vt:lpstr>
      <vt:lpstr>AWPA raw BP</vt:lpstr>
      <vt:lpstr>AWPA m.ply DL</vt:lpstr>
      <vt:lpstr>AWPA s.ply DL</vt:lpstr>
      <vt:lpstr>AWPA raw DL</vt:lpstr>
      <vt:lpstr>WPA raw PL</vt:lpstr>
      <vt:lpstr>WPA raw BP</vt:lpstr>
      <vt:lpstr>WPA m.ply DL</vt:lpstr>
      <vt:lpstr>WPA s.ply DL</vt:lpstr>
      <vt:lpstr>WPA raw DL</vt:lpstr>
      <vt:lpstr>Multy-repeat BP AWPC 1_2 bw.</vt:lpstr>
      <vt:lpstr>Multy-repeat BP AWPC 1 bw.</vt:lpstr>
      <vt:lpstr>Multy-repeat BP WPC 1 bw.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Franz</cp:lastModifiedBy>
  <cp:lastPrinted>2008-02-22T21:19:54Z</cp:lastPrinted>
  <dcterms:created xsi:type="dcterms:W3CDTF">2002-06-16T13:36:44Z</dcterms:created>
  <dcterms:modified xsi:type="dcterms:W3CDTF">2019-04-17T18:23:18Z</dcterms:modified>
</cp:coreProperties>
</file>