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AWPC НЖ 1 вес" sheetId="18" r:id="rId1"/>
    <sheet name="WPC НЖ 1 вес" sheetId="17" r:id="rId2"/>
    <sheet name="AWPC б_э тяга" sheetId="15" r:id="rId3"/>
    <sheet name="WPC б_э тяга" sheetId="14" r:id="rId4"/>
    <sheet name="AWPC стд. софт эк. жим" sheetId="13" r:id="rId5"/>
    <sheet name="AWPC б_э жим" sheetId="12" r:id="rId6"/>
    <sheet name="AWPC Класс. ПЛ " sheetId="11" r:id="rId7"/>
    <sheet name="AWPC б_э ПЛ" sheetId="10" r:id="rId8"/>
    <sheet name="WPC стд. софт эк. жим" sheetId="9" r:id="rId9"/>
    <sheet name="WPC б_э жим" sheetId="8" r:id="rId10"/>
    <sheet name="WPC класс. ПЛ " sheetId="6" r:id="rId11"/>
  </sheets>
  <calcPr calcId="125725" refMode="R1C1"/>
</workbook>
</file>

<file path=xl/calcChain.xml><?xml version="1.0" encoding="utf-8"?>
<calcChain xmlns="http://schemas.openxmlformats.org/spreadsheetml/2006/main">
  <c r="J11" i="18"/>
  <c r="I11"/>
  <c r="D11"/>
  <c r="J10"/>
  <c r="I10"/>
  <c r="D10"/>
  <c r="J9"/>
  <c r="I9"/>
  <c r="D9"/>
  <c r="J6"/>
  <c r="I6"/>
  <c r="D6"/>
  <c r="J9" i="17"/>
  <c r="I9"/>
  <c r="D9"/>
  <c r="J6"/>
  <c r="I6"/>
  <c r="D6"/>
  <c r="L20" i="15"/>
  <c r="K20"/>
  <c r="D20"/>
  <c r="L17"/>
  <c r="K17"/>
  <c r="D17"/>
  <c r="L14"/>
  <c r="K14"/>
  <c r="D14"/>
  <c r="L13"/>
  <c r="K13"/>
  <c r="D13"/>
  <c r="L12"/>
  <c r="K12"/>
  <c r="D12"/>
  <c r="L9"/>
  <c r="K9"/>
  <c r="D9"/>
  <c r="L6"/>
  <c r="K6"/>
  <c r="D6"/>
  <c r="L10" i="14"/>
  <c r="K10"/>
  <c r="D10"/>
  <c r="L9"/>
  <c r="K9"/>
  <c r="D9"/>
  <c r="L6"/>
  <c r="K6"/>
  <c r="D6"/>
  <c r="L16" i="13"/>
  <c r="K16"/>
  <c r="D16"/>
  <c r="L15"/>
  <c r="K15"/>
  <c r="D15"/>
  <c r="L12"/>
  <c r="K12"/>
  <c r="D12"/>
  <c r="L9"/>
  <c r="K9"/>
  <c r="D9"/>
  <c r="L6"/>
  <c r="K6"/>
  <c r="D6"/>
  <c r="L56" i="12"/>
  <c r="K56"/>
  <c r="D56"/>
  <c r="L55"/>
  <c r="K55"/>
  <c r="D55"/>
  <c r="L52"/>
  <c r="K52"/>
  <c r="D52"/>
  <c r="L51"/>
  <c r="K51"/>
  <c r="D51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4"/>
  <c r="K34"/>
  <c r="D34"/>
  <c r="L33"/>
  <c r="K33"/>
  <c r="D33"/>
  <c r="L32"/>
  <c r="K32"/>
  <c r="D32"/>
  <c r="L31"/>
  <c r="K31"/>
  <c r="D31"/>
  <c r="L30"/>
  <c r="K30"/>
  <c r="D30"/>
  <c r="L27"/>
  <c r="K27"/>
  <c r="D27"/>
  <c r="L26"/>
  <c r="K26"/>
  <c r="D26"/>
  <c r="L25"/>
  <c r="K25"/>
  <c r="D25"/>
  <c r="L24"/>
  <c r="K24"/>
  <c r="D24"/>
  <c r="L23"/>
  <c r="K23"/>
  <c r="D23"/>
  <c r="L22"/>
  <c r="K22"/>
  <c r="D22"/>
  <c r="L19"/>
  <c r="K19"/>
  <c r="D19"/>
  <c r="L18"/>
  <c r="K18"/>
  <c r="D18"/>
  <c r="L17"/>
  <c r="K17"/>
  <c r="D17"/>
  <c r="L14"/>
  <c r="K14"/>
  <c r="D14"/>
  <c r="L11"/>
  <c r="K11"/>
  <c r="D11"/>
  <c r="L8"/>
  <c r="K8"/>
  <c r="D8"/>
  <c r="L7"/>
  <c r="K7"/>
  <c r="D7"/>
  <c r="L6"/>
  <c r="K6"/>
  <c r="D6"/>
  <c r="T9" i="11"/>
  <c r="S9"/>
  <c r="D9"/>
  <c r="T6"/>
  <c r="S6"/>
  <c r="D6"/>
  <c r="T10" i="10"/>
  <c r="S10"/>
  <c r="D10"/>
  <c r="T9"/>
  <c r="S9"/>
  <c r="D9"/>
  <c r="T6"/>
  <c r="S6"/>
  <c r="D6"/>
  <c r="L10" i="9"/>
  <c r="K10"/>
  <c r="D10"/>
  <c r="L7"/>
  <c r="K7"/>
  <c r="D7"/>
  <c r="L6"/>
  <c r="K6"/>
  <c r="D6"/>
  <c r="L18" i="8"/>
  <c r="K18"/>
  <c r="D18"/>
  <c r="L17"/>
  <c r="K17"/>
  <c r="D17"/>
  <c r="L16"/>
  <c r="K16"/>
  <c r="D16"/>
  <c r="L13"/>
  <c r="K13"/>
  <c r="D13"/>
  <c r="L10"/>
  <c r="K10"/>
  <c r="D10"/>
  <c r="L9"/>
  <c r="K9"/>
  <c r="D9"/>
  <c r="L6"/>
  <c r="K6"/>
  <c r="D6"/>
  <c r="T9" i="6"/>
  <c r="S9"/>
  <c r="D9"/>
  <c r="T6"/>
  <c r="S6"/>
  <c r="D6"/>
</calcChain>
</file>

<file path=xl/sharedStrings.xml><?xml version="1.0" encoding="utf-8"?>
<sst xmlns="http://schemas.openxmlformats.org/spreadsheetml/2006/main" count="1448" uniqueCount="514">
  <si>
    <t>ФИО</t>
  </si>
  <si>
    <t>Тренер</t>
  </si>
  <si>
    <t>Очки</t>
  </si>
  <si>
    <t>Команда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</si>
  <si>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</si>
  <si>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</si>
  <si>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</si>
  <si>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</si>
  <si>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</si>
  <si>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</si>
  <si>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</si>
  <si>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</si>
  <si>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</si>
  <si>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Результат</t>
  </si>
  <si>
    <t>Возрастная группа
Дата рождения/Возраст</t>
  </si>
  <si>
    <t>Собственный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</si>
  <si>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</si>
  <si>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</si>
  <si>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</si>
  <si>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</si>
  <si>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</si>
  <si>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</si>
  <si>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</si>
  <si>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Gloss</t>
  </si>
  <si>
    <t>Приседание</t>
  </si>
  <si>
    <t>ВЕСОВАЯ КАТЕГОРИЯ   82.5</t>
  </si>
  <si>
    <t>Тарасова Юлия</t>
  </si>
  <si>
    <t>1. Тарасова Юлия</t>
  </si>
  <si>
    <t>80,50</t>
  </si>
  <si>
    <t xml:space="preserve">Лично </t>
  </si>
  <si>
    <t xml:space="preserve">Москва </t>
  </si>
  <si>
    <t>120,0</t>
  </si>
  <si>
    <t>140,0</t>
  </si>
  <si>
    <t>60,0</t>
  </si>
  <si>
    <t>70,0</t>
  </si>
  <si>
    <t>72,5</t>
  </si>
  <si>
    <t>130,0</t>
  </si>
  <si>
    <t>150,0</t>
  </si>
  <si>
    <t xml:space="preserve"> </t>
  </si>
  <si>
    <t>ВЕСОВАЯ КАТЕГОРИЯ   100</t>
  </si>
  <si>
    <t>Абаев Асламбек</t>
  </si>
  <si>
    <t>1. Абаев Асламбек</t>
  </si>
  <si>
    <t>97,50</t>
  </si>
  <si>
    <t xml:space="preserve">Моздок/Северная Осетия - Алания </t>
  </si>
  <si>
    <t>240,0</t>
  </si>
  <si>
    <t>260,0</t>
  </si>
  <si>
    <t>180,0</t>
  </si>
  <si>
    <t>190,0</t>
  </si>
  <si>
    <t>200,0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</si>
  <si>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</si>
  <si>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</si>
  <si>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</si>
  <si>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</si>
  <si>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</si>
  <si>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</si>
  <si>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82.5</t>
  </si>
  <si>
    <t>362,5</t>
  </si>
  <si>
    <t>305,4337</t>
  </si>
  <si>
    <t xml:space="preserve">Мужчины </t>
  </si>
  <si>
    <t>100</t>
  </si>
  <si>
    <t>720,0</t>
  </si>
  <si>
    <t>567,0612</t>
  </si>
  <si>
    <t>КУБОК КРЕМЛЯ
WPC жим лежа без экипировки
Москва/Москва 21 - 22 сентября 2019 г.</t>
  </si>
  <si>
    <t>ВЕСОВАЯ КАТЕГОРИЯ   75</t>
  </si>
  <si>
    <t>Матвиенко Надежда</t>
  </si>
  <si>
    <t>1. Матвиенко Надежда</t>
  </si>
  <si>
    <t>73,50</t>
  </si>
  <si>
    <t>102,5</t>
  </si>
  <si>
    <t>Архипов Артем</t>
  </si>
  <si>
    <t>1. Архипов Артем</t>
  </si>
  <si>
    <t>Открытая (24.03.1982)/37</t>
  </si>
  <si>
    <t>74,30</t>
  </si>
  <si>
    <t>137,5</t>
  </si>
  <si>
    <t>147,5</t>
  </si>
  <si>
    <t>152,5</t>
  </si>
  <si>
    <t>-. Айрапетян Дмитрий</t>
  </si>
  <si>
    <t>Открытая (25.10.1987)/31</t>
  </si>
  <si>
    <t>74,90</t>
  </si>
  <si>
    <t>170,0</t>
  </si>
  <si>
    <t>ВЕСОВАЯ КАТЕГОРИЯ   90</t>
  </si>
  <si>
    <t>Худолеев Евгений</t>
  </si>
  <si>
    <t>1. Худолеев Евгений</t>
  </si>
  <si>
    <t>89,30</t>
  </si>
  <si>
    <t>110,0</t>
  </si>
  <si>
    <t>125,0</t>
  </si>
  <si>
    <t>Баруков Игорь</t>
  </si>
  <si>
    <t>1. Баруков Игорь</t>
  </si>
  <si>
    <t>Открытая (25.04.1985)/34</t>
  </si>
  <si>
    <t>98,70</t>
  </si>
  <si>
    <t>210,0</t>
  </si>
  <si>
    <t>220,0</t>
  </si>
  <si>
    <t>Журавлев Максим</t>
  </si>
  <si>
    <t>2. Журавлев Максим</t>
  </si>
  <si>
    <t>Открытая (24.08.1992)/27</t>
  </si>
  <si>
    <t>98,10</t>
  </si>
  <si>
    <t xml:space="preserve">Санкт-Петербург </t>
  </si>
  <si>
    <t>Кулагин Дмитрий</t>
  </si>
  <si>
    <t>3. Кулагин Дмитрий</t>
  </si>
  <si>
    <t>Открытая (07.06.1989)/30</t>
  </si>
  <si>
    <t>100,00</t>
  </si>
  <si>
    <t>160,0</t>
  </si>
  <si>
    <t>75</t>
  </si>
  <si>
    <t>106,4205</t>
  </si>
  <si>
    <t xml:space="preserve">Открытая </t>
  </si>
  <si>
    <t>128,6010</t>
  </si>
  <si>
    <t>117,2300</t>
  </si>
  <si>
    <t>105,7359</t>
  </si>
  <si>
    <t>87,1950</t>
  </si>
  <si>
    <t>90</t>
  </si>
  <si>
    <t>134,8937</t>
  </si>
  <si>
    <t>КУБОК КРЕМЛЯ
WPC Жим лежа в стандартной софт экипировке
Москва/Москва 21 - 22 сентября 2019 г.</t>
  </si>
  <si>
    <t>ВЕСОВАЯ КАТЕГОРИЯ   67.5</t>
  </si>
  <si>
    <t>Прокопова Елена</t>
  </si>
  <si>
    <t>1. Прокопова Елена</t>
  </si>
  <si>
    <t>Открытая (07.03.1966)/53</t>
  </si>
  <si>
    <t>66,50</t>
  </si>
  <si>
    <t xml:space="preserve">Адреналин Москва </t>
  </si>
  <si>
    <t>ВЕСОВАЯ КАТЕГОРИЯ   110</t>
  </si>
  <si>
    <t>Захаров Сергей</t>
  </si>
  <si>
    <t>1. Захаров Сергей</t>
  </si>
  <si>
    <t>Открытая (20.03.1991)/28</t>
  </si>
  <si>
    <t>109,50</t>
  </si>
  <si>
    <t>255,0</t>
  </si>
  <si>
    <t>270,0</t>
  </si>
  <si>
    <t>67.5</t>
  </si>
  <si>
    <t>154,7340</t>
  </si>
  <si>
    <t>183,2051</t>
  </si>
  <si>
    <t>110</t>
  </si>
  <si>
    <t>152,0640</t>
  </si>
  <si>
    <t>КУБОК КРЕМЛЯ
AWPC пауэрлифтинг без экипировки
Москва/Москва 21 - 22 сентября 2019 г.</t>
  </si>
  <si>
    <t>ВЕСОВАЯ КАТЕГОРИЯ   56</t>
  </si>
  <si>
    <t>-. Королева Анна</t>
  </si>
  <si>
    <t>Открытая (04.02.1982)/37</t>
  </si>
  <si>
    <t>54,80</t>
  </si>
  <si>
    <t>65,0</t>
  </si>
  <si>
    <t>40,0</t>
  </si>
  <si>
    <t>75,0</t>
  </si>
  <si>
    <t>Коган Александр</t>
  </si>
  <si>
    <t>1. Коган Александр</t>
  </si>
  <si>
    <t>Открытая (19.01.1984)/35</t>
  </si>
  <si>
    <t>100,80</t>
  </si>
  <si>
    <t xml:space="preserve">Юго-запад </t>
  </si>
  <si>
    <t>145,0</t>
  </si>
  <si>
    <t>82,5</t>
  </si>
  <si>
    <t>90,0</t>
  </si>
  <si>
    <t>155,0</t>
  </si>
  <si>
    <t>165,0</t>
  </si>
  <si>
    <t xml:space="preserve">Родин Дмитрий </t>
  </si>
  <si>
    <t>Макаров Андрей</t>
  </si>
  <si>
    <t>1. Макаров Андрей</t>
  </si>
  <si>
    <t>104,30</t>
  </si>
  <si>
    <t>135,0</t>
  </si>
  <si>
    <t>142,5</t>
  </si>
  <si>
    <t>185,0</t>
  </si>
  <si>
    <t>202,5</t>
  </si>
  <si>
    <t>212,5</t>
  </si>
  <si>
    <t xml:space="preserve">Якушев Олег </t>
  </si>
  <si>
    <t>400,0</t>
  </si>
  <si>
    <t>231,7800</t>
  </si>
  <si>
    <t>510,0</t>
  </si>
  <si>
    <t>291,7200</t>
  </si>
  <si>
    <t>Николаенко Вячеслав</t>
  </si>
  <si>
    <t>1. Николаенко Вячеслав</t>
  </si>
  <si>
    <t>Юноши 18 - 19 (11.10.1999)/19</t>
  </si>
  <si>
    <t>71,80</t>
  </si>
  <si>
    <t xml:space="preserve">Балашиха/Московская область </t>
  </si>
  <si>
    <t>95,0</t>
  </si>
  <si>
    <t>100,0</t>
  </si>
  <si>
    <t>215,0</t>
  </si>
  <si>
    <t>Антипин Алексей</t>
  </si>
  <si>
    <t>1. Антипин Алексей</t>
  </si>
  <si>
    <t>Открытая (14.04.1987)/32</t>
  </si>
  <si>
    <t>95,20</t>
  </si>
  <si>
    <t>105,0</t>
  </si>
  <si>
    <t>115,0</t>
  </si>
  <si>
    <t xml:space="preserve">Юноши </t>
  </si>
  <si>
    <t xml:space="preserve">Юноши 18 - 19 </t>
  </si>
  <si>
    <t>480,0</t>
  </si>
  <si>
    <t>341,6160</t>
  </si>
  <si>
    <t>460,0</t>
  </si>
  <si>
    <t>273,3780</t>
  </si>
  <si>
    <t>КУБОК КРЕМЛЯ
AWPC жим лежа без экипировки
Москва/Москва 21 - 22 сентября 2019 г.</t>
  </si>
  <si>
    <t>Мостовая Мария</t>
  </si>
  <si>
    <t>1. Мостовая Мария</t>
  </si>
  <si>
    <t>Открытая (19.11.1985)/33</t>
  </si>
  <si>
    <t>55,00</t>
  </si>
  <si>
    <t xml:space="preserve">GOPark </t>
  </si>
  <si>
    <t xml:space="preserve">Химки/Московская область </t>
  </si>
  <si>
    <t>67,5</t>
  </si>
  <si>
    <t>Контарь Инесса</t>
  </si>
  <si>
    <t>2. Контарь Инесса</t>
  </si>
  <si>
    <t>Открытая (25.01.1980)/39</t>
  </si>
  <si>
    <t>53,90</t>
  </si>
  <si>
    <t>62,5</t>
  </si>
  <si>
    <t>Мартынова Дарья</t>
  </si>
  <si>
    <t>3. Мартынова Дарья</t>
  </si>
  <si>
    <t>Открытая (20.01.1989)/30</t>
  </si>
  <si>
    <t>53,60</t>
  </si>
  <si>
    <t>32,5</t>
  </si>
  <si>
    <t>37,5</t>
  </si>
  <si>
    <t>ВЕСОВАЯ КАТЕГОРИЯ   60</t>
  </si>
  <si>
    <t>Крымская Юлия</t>
  </si>
  <si>
    <t>1. Крымская Юлия</t>
  </si>
  <si>
    <t>Открытая (29.06.1984)/35</t>
  </si>
  <si>
    <t>58,60</t>
  </si>
  <si>
    <t>52,5</t>
  </si>
  <si>
    <t>57,5</t>
  </si>
  <si>
    <t xml:space="preserve">Сидоров Василий Александрович </t>
  </si>
  <si>
    <t>Татаринцева Кристина</t>
  </si>
  <si>
    <t>1. Татаринцева Кристина</t>
  </si>
  <si>
    <t>Юниорки 20 - 23 (16.10.1995)/23</t>
  </si>
  <si>
    <t>64,80</t>
  </si>
  <si>
    <t>Кузенкин Филипп</t>
  </si>
  <si>
    <t>1. Кузенкин Филипп</t>
  </si>
  <si>
    <t>Юноши 16 - 17 (01.06.2003)/16</t>
  </si>
  <si>
    <t>63,50</t>
  </si>
  <si>
    <t xml:space="preserve">Зеленоград/Московская область </t>
  </si>
  <si>
    <t>80,0</t>
  </si>
  <si>
    <t>85,0</t>
  </si>
  <si>
    <t>Канцуров Сергей</t>
  </si>
  <si>
    <t>1. Канцуров Сергей</t>
  </si>
  <si>
    <t>Открытая (14.03.1991)/28</t>
  </si>
  <si>
    <t>67,10</t>
  </si>
  <si>
    <t>Багров Антон</t>
  </si>
  <si>
    <t>2. Багров Антон</t>
  </si>
  <si>
    <t>Открытая (14.01.1993)/26</t>
  </si>
  <si>
    <t>67,30</t>
  </si>
  <si>
    <t xml:space="preserve">Голицыно/Московская область </t>
  </si>
  <si>
    <t>127,5</t>
  </si>
  <si>
    <t>Буцнов Илья</t>
  </si>
  <si>
    <t>1. Буцнов Илья</t>
  </si>
  <si>
    <t>Юноши 16 - 17 (30.07.2002)/17</t>
  </si>
  <si>
    <t>69,30</t>
  </si>
  <si>
    <t xml:space="preserve">Чехов/Московская область </t>
  </si>
  <si>
    <t>Черепов Леонид</t>
  </si>
  <si>
    <t>1. Черепов Леонид</t>
  </si>
  <si>
    <t>Открытая (04.10.1990)/28</t>
  </si>
  <si>
    <t>73,40</t>
  </si>
  <si>
    <t>Салишев Максим</t>
  </si>
  <si>
    <t>2. Салишев Максим</t>
  </si>
  <si>
    <t>Открытая (03.08.1993)/26</t>
  </si>
  <si>
    <t>74,60</t>
  </si>
  <si>
    <t>Гуртовой Максим</t>
  </si>
  <si>
    <t>3. Гуртовой Максим</t>
  </si>
  <si>
    <t>Открытая (27.11.1984)/34</t>
  </si>
  <si>
    <t>Семенченко Илья</t>
  </si>
  <si>
    <t>4. Семенченко Илья</t>
  </si>
  <si>
    <t>Открытая (27.12.1990)/28</t>
  </si>
  <si>
    <t>72,80</t>
  </si>
  <si>
    <t xml:space="preserve">Фрязино/Московская область </t>
  </si>
  <si>
    <t>117,5</t>
  </si>
  <si>
    <t xml:space="preserve">Горохов </t>
  </si>
  <si>
    <t xml:space="preserve">5. Горохов </t>
  </si>
  <si>
    <t>Открытая (21.08.1993)/26</t>
  </si>
  <si>
    <t>72,30</t>
  </si>
  <si>
    <t>Погосов Александр</t>
  </si>
  <si>
    <t>1. Погосов Александр</t>
  </si>
  <si>
    <t>Юноши 16 - 17 (25.08.2002)/17</t>
  </si>
  <si>
    <t>77,20</t>
  </si>
  <si>
    <t>Ильченко Максим</t>
  </si>
  <si>
    <t>1. Ильченко Максим</t>
  </si>
  <si>
    <t>Открытая (13.12.1989)/29</t>
  </si>
  <si>
    <t>82,00</t>
  </si>
  <si>
    <t>Алексеев Владислав</t>
  </si>
  <si>
    <t>2. Алексеев Владислав</t>
  </si>
  <si>
    <t>Открытая (14.12.1990)/28</t>
  </si>
  <si>
    <t>81,10</t>
  </si>
  <si>
    <t>-. Правдин Виктор</t>
  </si>
  <si>
    <t>Открытая (01.11.1987)/31</t>
  </si>
  <si>
    <t>78,80</t>
  </si>
  <si>
    <t>Саенков Владимир</t>
  </si>
  <si>
    <t>1. Саенков Владимир</t>
  </si>
  <si>
    <t>81,30</t>
  </si>
  <si>
    <t>Бирюков Никита</t>
  </si>
  <si>
    <t>1. Бирюков Никита</t>
  </si>
  <si>
    <t>Открытая (09.08.1992)/27</t>
  </si>
  <si>
    <t>88,90</t>
  </si>
  <si>
    <t xml:space="preserve">Зеленоград/Московская </t>
  </si>
  <si>
    <t>157,5</t>
  </si>
  <si>
    <t>Шатов Антон</t>
  </si>
  <si>
    <t>2. Шатов Антон</t>
  </si>
  <si>
    <t>Открытая (05.04.1986)/33</t>
  </si>
  <si>
    <t>84,50</t>
  </si>
  <si>
    <t xml:space="preserve">Калуга/Калужская область </t>
  </si>
  <si>
    <t>Бойков Никита</t>
  </si>
  <si>
    <t>3. Бойков Никита</t>
  </si>
  <si>
    <t>Открытая (04.10.1989)/29</t>
  </si>
  <si>
    <t>87,60</t>
  </si>
  <si>
    <t>132,5</t>
  </si>
  <si>
    <t>-. Аптекарь Максим</t>
  </si>
  <si>
    <t>Открытая (18.07.1995)/24</t>
  </si>
  <si>
    <t>86,70</t>
  </si>
  <si>
    <t>Плетнёв Матвей</t>
  </si>
  <si>
    <t>1. Плетнёв Матвей</t>
  </si>
  <si>
    <t>Юноши 18 - 19 (14.12.2000)/18</t>
  </si>
  <si>
    <t>98,40</t>
  </si>
  <si>
    <t>Соколов Виктор</t>
  </si>
  <si>
    <t>1. Соколов Виктор</t>
  </si>
  <si>
    <t>Открытая (30.05.1989)/30</t>
  </si>
  <si>
    <t>96,50</t>
  </si>
  <si>
    <t>Барсуков Евгений</t>
  </si>
  <si>
    <t>2. Барсуков Евгений</t>
  </si>
  <si>
    <t>Открытая (21.09.1990)/29</t>
  </si>
  <si>
    <t>95,40</t>
  </si>
  <si>
    <t xml:space="preserve">Одинцово/Московская область </t>
  </si>
  <si>
    <t>162,5</t>
  </si>
  <si>
    <t>Брытков Данил</t>
  </si>
  <si>
    <t>1. Брытков Данил</t>
  </si>
  <si>
    <t>96,60</t>
  </si>
  <si>
    <t>Копылов Андрей</t>
  </si>
  <si>
    <t>1. Копылов Андрей</t>
  </si>
  <si>
    <t>97,90</t>
  </si>
  <si>
    <t>Хорхордин Игорь</t>
  </si>
  <si>
    <t>1. Хорхордин Игорь</t>
  </si>
  <si>
    <t>91,40</t>
  </si>
  <si>
    <t>-. Максимов Олег</t>
  </si>
  <si>
    <t>Открытая (18.10.1985)/33</t>
  </si>
  <si>
    <t>106,90</t>
  </si>
  <si>
    <t xml:space="preserve">Щекино/Тульская обл. </t>
  </si>
  <si>
    <t>167,5</t>
  </si>
  <si>
    <t>-. Тютчев Сергей</t>
  </si>
  <si>
    <t>107,60</t>
  </si>
  <si>
    <t xml:space="preserve">Электросталь/Московская область </t>
  </si>
  <si>
    <t>ВЕСОВАЯ КАТЕГОРИЯ   125</t>
  </si>
  <si>
    <t>Бочарников Вадим</t>
  </si>
  <si>
    <t>1. Бочарников Вадим</t>
  </si>
  <si>
    <t>Открытая (25.11.1986)/32</t>
  </si>
  <si>
    <t>111,80</t>
  </si>
  <si>
    <t>205,0</t>
  </si>
  <si>
    <t>225,0</t>
  </si>
  <si>
    <t>Бычков Игорь</t>
  </si>
  <si>
    <t>1. Бычков Игорь</t>
  </si>
  <si>
    <t>117,20</t>
  </si>
  <si>
    <t>172,5</t>
  </si>
  <si>
    <t>177,5</t>
  </si>
  <si>
    <t xml:space="preserve">Юниорки </t>
  </si>
  <si>
    <t xml:space="preserve">Юниоры 20 - 23 </t>
  </si>
  <si>
    <t>60,3785</t>
  </si>
  <si>
    <t>56</t>
  </si>
  <si>
    <t>71,4893</t>
  </si>
  <si>
    <t>67,2750</t>
  </si>
  <si>
    <t>60</t>
  </si>
  <si>
    <t>57,8738</t>
  </si>
  <si>
    <t>35,1390</t>
  </si>
  <si>
    <t xml:space="preserve">Юноши 16 - 17 </t>
  </si>
  <si>
    <t>71,0685</t>
  </si>
  <si>
    <t>68,7786</t>
  </si>
  <si>
    <t>62,2370</t>
  </si>
  <si>
    <t>48,8831</t>
  </si>
  <si>
    <t>125</t>
  </si>
  <si>
    <t>126,0113</t>
  </si>
  <si>
    <t>100,3850</t>
  </si>
  <si>
    <t>97,7860</t>
  </si>
  <si>
    <t>97,0725</t>
  </si>
  <si>
    <t>97,0279</t>
  </si>
  <si>
    <t>96,2156</t>
  </si>
  <si>
    <t>95,6696</t>
  </si>
  <si>
    <t>95,0469</t>
  </si>
  <si>
    <t>92,0677</t>
  </si>
  <si>
    <t>90,9675</t>
  </si>
  <si>
    <t>83,1250</t>
  </si>
  <si>
    <t>83,1109</t>
  </si>
  <si>
    <t>82,7376</t>
  </si>
  <si>
    <t>82,3289</t>
  </si>
  <si>
    <t>67,2505</t>
  </si>
  <si>
    <t>119,9099</t>
  </si>
  <si>
    <t>113,1075</t>
  </si>
  <si>
    <t>109,4172</t>
  </si>
  <si>
    <t>86,4348</t>
  </si>
  <si>
    <t>72,0524</t>
  </si>
  <si>
    <t>КУБОК КРЕМЛЯ
AWPC Жим лежа в стандартной софт экипировке
Москва/Москва 21 - 22 сентября 2019 г.</t>
  </si>
  <si>
    <t>Сергеев Дмитрий</t>
  </si>
  <si>
    <t>1. Сергеев Дмитрий</t>
  </si>
  <si>
    <t>Открытая (12.02.1987)/32</t>
  </si>
  <si>
    <t>Щеславский Станислав</t>
  </si>
  <si>
    <t>1. Щеславский Станислав</t>
  </si>
  <si>
    <t>Открытая (15.04.1981)/38</t>
  </si>
  <si>
    <t>98,80</t>
  </si>
  <si>
    <t>267,5</t>
  </si>
  <si>
    <t>Велес Евгений</t>
  </si>
  <si>
    <t>1. Велес Евгений</t>
  </si>
  <si>
    <t>119,00</t>
  </si>
  <si>
    <t>300,0</t>
  </si>
  <si>
    <t>310,0</t>
  </si>
  <si>
    <t>ВЕСОВАЯ КАТЕГОРИЯ   140</t>
  </si>
  <si>
    <t>-. Демидов Дмитрий</t>
  </si>
  <si>
    <t>Юниоры 20 - 23 (04.10.1998)/20</t>
  </si>
  <si>
    <t>132,30</t>
  </si>
  <si>
    <t>317,5</t>
  </si>
  <si>
    <t>Открытая (04.10.1998)/20</t>
  </si>
  <si>
    <t>140,2320</t>
  </si>
  <si>
    <t>102,5010</t>
  </si>
  <si>
    <t>189,9432</t>
  </si>
  <si>
    <t>КУБОК КРЕМЛЯ
WPC тяга становая без экипировки
Москва/Москва 21 - 22 сентября 2019 г.</t>
  </si>
  <si>
    <t>Армашов Алексей</t>
  </si>
  <si>
    <t>1. Армашов Алексей</t>
  </si>
  <si>
    <t>Открытая (14.11.1988)/30</t>
  </si>
  <si>
    <t>93,20</t>
  </si>
  <si>
    <t xml:space="preserve">Железнодорожный/Московская область </t>
  </si>
  <si>
    <t>2. Кулагин Дмитрий</t>
  </si>
  <si>
    <t>230,0</t>
  </si>
  <si>
    <t>144,1560</t>
  </si>
  <si>
    <t>133,6990</t>
  </si>
  <si>
    <t>237,4130</t>
  </si>
  <si>
    <t>КУБОК КРЕМЛЯ
AWPC тяга становая без экипировки
Москва/Москва 21 - 22 сентября 2019 г.</t>
  </si>
  <si>
    <t>Агаева Анастасия</t>
  </si>
  <si>
    <t>1. Агаева Анастасия</t>
  </si>
  <si>
    <t>Девушки 18 - 19 (20.06.2001)/18</t>
  </si>
  <si>
    <t>Аксенов Роман</t>
  </si>
  <si>
    <t>1. Аксенов Роман</t>
  </si>
  <si>
    <t>Юниоры 20 - 23 (25.11.1996)/22</t>
  </si>
  <si>
    <t xml:space="preserve">Дзержинский/Московская область </t>
  </si>
  <si>
    <t>Казаков Дмитрий</t>
  </si>
  <si>
    <t>1. Казаков Дмитрий</t>
  </si>
  <si>
    <t>99,10</t>
  </si>
  <si>
    <t>250,0</t>
  </si>
  <si>
    <t>Плетнёв Андрей</t>
  </si>
  <si>
    <t>1. Плетнёв Андрей</t>
  </si>
  <si>
    <t>Открытая (09.08.1987)/32</t>
  </si>
  <si>
    <t>108,20</t>
  </si>
  <si>
    <t xml:space="preserve">Хотьково/Московская область </t>
  </si>
  <si>
    <t>207,5</t>
  </si>
  <si>
    <t>252,5</t>
  </si>
  <si>
    <t>Лукьянов Сергей</t>
  </si>
  <si>
    <t>1. Лукьянов Сергей</t>
  </si>
  <si>
    <t>118,50</t>
  </si>
  <si>
    <t>175,0</t>
  </si>
  <si>
    <t xml:space="preserve">Токарев Сергей </t>
  </si>
  <si>
    <t xml:space="preserve">Девушки </t>
  </si>
  <si>
    <t>72,8160</t>
  </si>
  <si>
    <t>90,7292</t>
  </si>
  <si>
    <t>85,9669</t>
  </si>
  <si>
    <t xml:space="preserve">Юниоры </t>
  </si>
  <si>
    <t>124,0050</t>
  </si>
  <si>
    <t>142,7130</t>
  </si>
  <si>
    <t>157,0063</t>
  </si>
  <si>
    <t>154,7575</t>
  </si>
  <si>
    <t>КУБОК КРЕМЛЯ
WPC Народный жим (1 вес)
Москва/Москва 21 - 22 сентября 2019 г.</t>
  </si>
  <si>
    <t>Комраков Никита</t>
  </si>
  <si>
    <t>1. Комраков Никита</t>
  </si>
  <si>
    <t>Открытая (23.06.1995)/24</t>
  </si>
  <si>
    <t>87,20</t>
  </si>
  <si>
    <t xml:space="preserve">Рязань/Рязанская область </t>
  </si>
  <si>
    <t>87,5n</t>
  </si>
  <si>
    <t>35,0</t>
  </si>
  <si>
    <t>Ковалев Алексей</t>
  </si>
  <si>
    <t>1. Ковалев Алексей</t>
  </si>
  <si>
    <t>92,30</t>
  </si>
  <si>
    <t xml:space="preserve">Богачев/Гомельская </t>
  </si>
  <si>
    <t>92,5n</t>
  </si>
  <si>
    <t>3062,5</t>
  </si>
  <si>
    <t>1907,9376</t>
  </si>
  <si>
    <t>3237,5</t>
  </si>
  <si>
    <t>1973,8600</t>
  </si>
  <si>
    <t>Вес</t>
  </si>
  <si>
    <t>Повторы</t>
  </si>
  <si>
    <t>Тоннаж</t>
  </si>
  <si>
    <t>КУБОК КРЕМЛЯ
AWPC Народный жим (1 вес)
Москва/Москва 21 - 22 сентября 2019 г.</t>
  </si>
  <si>
    <t>Ложешников Сергей</t>
  </si>
  <si>
    <t>1. Ложешников Сергей</t>
  </si>
  <si>
    <t>Открытая (09.07.1978)/41</t>
  </si>
  <si>
    <t>64,20</t>
  </si>
  <si>
    <t>33,0</t>
  </si>
  <si>
    <t>Стрельников Валерий</t>
  </si>
  <si>
    <t>1. Стрельников Валерий</t>
  </si>
  <si>
    <t>Открытая (25.03.1981)/38</t>
  </si>
  <si>
    <t>73,10</t>
  </si>
  <si>
    <t>43,0</t>
  </si>
  <si>
    <t>Исаев Руслан</t>
  </si>
  <si>
    <t>2. Исаев Руслан</t>
  </si>
  <si>
    <t>Открытая (15.11.1987)/31</t>
  </si>
  <si>
    <t>72,20</t>
  </si>
  <si>
    <t xml:space="preserve">Долгопрудный/Московская область </t>
  </si>
  <si>
    <t>39,0</t>
  </si>
  <si>
    <t>Черников Олег</t>
  </si>
  <si>
    <t>3. Черников Олег</t>
  </si>
  <si>
    <t>Открытая (11.04.1992)/27</t>
  </si>
  <si>
    <t>68,90</t>
  </si>
  <si>
    <t>28,0</t>
  </si>
  <si>
    <t>3225,0</t>
  </si>
  <si>
    <t>2263,6275</t>
  </si>
  <si>
    <t>2827,5</t>
  </si>
  <si>
    <t>2003,7079</t>
  </si>
  <si>
    <t>2145,0</t>
  </si>
  <si>
    <t>1677,0682</t>
  </si>
  <si>
    <t>1960,0</t>
  </si>
  <si>
    <t>1441,9720</t>
  </si>
  <si>
    <t>Ветераны 40 - 49 (16.10.1977)/41</t>
  </si>
  <si>
    <t>Ветераны 40 - 44 (19.11.1976)/42</t>
  </si>
  <si>
    <t>Ветераны 70 - 74 (10.09.1946)/73</t>
  </si>
  <si>
    <t>Ветераны 50 - 54 (09.03.1968)/51</t>
  </si>
  <si>
    <t>Ветераны 45 - 49 (18.06.1970)/49</t>
  </si>
  <si>
    <t>Ветераны 55 - 59 (25.06.1964)/55</t>
  </si>
  <si>
    <t>Ветераны 50 - 54 (15.06.1967)/52</t>
  </si>
  <si>
    <t>Ветераны 45 - 49 (14.02.1973)/46</t>
  </si>
  <si>
    <t>Ветераны 40 - 44 (26.02.1978)/41</t>
  </si>
  <si>
    <t>Ветераны 60 - 64 (24.03.1959)/60</t>
  </si>
  <si>
    <t>Ветераны 40 - 44 (18.09.1979)/40</t>
  </si>
  <si>
    <t>Ветераны 50 - 54 (07.03.1966)/53</t>
  </si>
  <si>
    <t>Ветераны 55 - 59 (27.07.1964)/55</t>
  </si>
  <si>
    <t xml:space="preserve">Ветераны 55 - 59 </t>
  </si>
  <si>
    <t xml:space="preserve">Ветераны 70 - 74 </t>
  </si>
  <si>
    <t>Ветераны 45 - 49 (21.02.1974)/45</t>
  </si>
  <si>
    <t xml:space="preserve">Ветераны 45 - 49 </t>
  </si>
  <si>
    <t xml:space="preserve">Ветераны 60 - 64 </t>
  </si>
  <si>
    <t>Ветераны 60 - 64 (28.06.1959)/60</t>
  </si>
  <si>
    <t>КУБОК КРЕМЛЯ
WPC пауэрлифтинг классичесический
Москва/Москва 21 - 22 сентября 2019 г.</t>
  </si>
  <si>
    <t xml:space="preserve">Ветераны 50 - 54 </t>
  </si>
  <si>
    <t>Ветераны</t>
  </si>
  <si>
    <t xml:space="preserve">Ветераны 40 - 44 </t>
  </si>
  <si>
    <t xml:space="preserve">Ветераны </t>
  </si>
  <si>
    <t>КУБОК КРЕМЛЯ
AWPC пауэрлифтинг классичесический
Москва/Москва 21 - 22 сентября 2019 г.</t>
  </si>
  <si>
    <t>Ветераны 60 - 64 (25.10.1955)/63</t>
  </si>
  <si>
    <t xml:space="preserve">Ветераны 40 - 49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</si>
</sst>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9" workbookViewId="0">
      <selection sqref="A1:U2"/>
    </sheetView>
  </sheetViews>
  <sheetFormatPr defaultRowHeight="12.75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2.85546875" style="5" bestFit="1" customWidth="1"/>
    <col min="7" max="7" width="4.5703125" style="1" bestFit="1" customWidth="1"/>
    <col min="8" max="8" width="4.5703125" style="33" bestFit="1" customWidth="1"/>
    <col min="9" max="9" width="11.28515625" style="4" bestFit="1" customWidth="1"/>
    <col min="10" max="10" width="9.5703125" style="1" bestFit="1" customWidth="1"/>
    <col min="11" max="11" width="8.85546875" style="5" bestFit="1" customWidth="1"/>
    <col min="12" max="16384" width="9.140625" style="1"/>
  </cols>
  <sheetData>
    <row r="1" spans="1:11" ht="29.1" customHeight="1">
      <c r="A1" s="41" t="s">
        <v>457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5" t="s">
        <v>456</v>
      </c>
      <c r="J3" s="51" t="s">
        <v>2</v>
      </c>
      <c r="K3" s="37" t="s">
        <v>1</v>
      </c>
    </row>
    <row r="4" spans="1:11" s="2" customFormat="1" ht="21" customHeight="1" thickBot="1">
      <c r="A4" s="48"/>
      <c r="B4" s="50"/>
      <c r="C4" s="50"/>
      <c r="D4" s="50"/>
      <c r="E4" s="50"/>
      <c r="F4" s="50"/>
      <c r="G4" s="3" t="s">
        <v>454</v>
      </c>
      <c r="H4" s="31" t="s">
        <v>455</v>
      </c>
      <c r="I4" s="56"/>
      <c r="J4" s="50"/>
      <c r="K4" s="38"/>
    </row>
    <row r="5" spans="1:11" ht="15">
      <c r="A5" s="39" t="s">
        <v>111</v>
      </c>
      <c r="B5" s="39"/>
      <c r="C5" s="39"/>
      <c r="D5" s="39"/>
      <c r="E5" s="39"/>
      <c r="F5" s="39"/>
      <c r="G5" s="39"/>
      <c r="H5" s="39"/>
      <c r="I5" s="39"/>
      <c r="J5" s="39"/>
    </row>
    <row r="6" spans="1:11">
      <c r="A6" s="9" t="s">
        <v>459</v>
      </c>
      <c r="B6" s="10" t="s">
        <v>460</v>
      </c>
      <c r="C6" s="10" t="s">
        <v>461</v>
      </c>
      <c r="D6" s="10" t="str">
        <f>"0,7818"</f>
        <v>0,7818</v>
      </c>
      <c r="E6" s="11" t="s">
        <v>29</v>
      </c>
      <c r="F6" s="11" t="s">
        <v>165</v>
      </c>
      <c r="G6" s="10" t="s">
        <v>134</v>
      </c>
      <c r="H6" s="32" t="s">
        <v>462</v>
      </c>
      <c r="I6" s="9" t="str">
        <f>"2145,0"</f>
        <v>2145,0</v>
      </c>
      <c r="J6" s="10" t="str">
        <f>"1677,0682"</f>
        <v>1677,0682</v>
      </c>
      <c r="K6" s="11" t="s">
        <v>38</v>
      </c>
    </row>
    <row r="8" spans="1:11" ht="15">
      <c r="A8" s="40" t="s">
        <v>63</v>
      </c>
      <c r="B8" s="40"/>
      <c r="C8" s="40"/>
      <c r="D8" s="40"/>
      <c r="E8" s="40"/>
      <c r="F8" s="40"/>
      <c r="G8" s="40"/>
      <c r="H8" s="40"/>
      <c r="I8" s="40"/>
      <c r="J8" s="40"/>
    </row>
    <row r="9" spans="1:11">
      <c r="A9" s="19" t="s">
        <v>464</v>
      </c>
      <c r="B9" s="20" t="s">
        <v>465</v>
      </c>
      <c r="C9" s="20" t="s">
        <v>466</v>
      </c>
      <c r="D9" s="20" t="str">
        <f>"0,7019"</f>
        <v>0,7019</v>
      </c>
      <c r="E9" s="21" t="s">
        <v>29</v>
      </c>
      <c r="F9" s="21" t="s">
        <v>30</v>
      </c>
      <c r="G9" s="20" t="s">
        <v>136</v>
      </c>
      <c r="H9" s="34" t="s">
        <v>467</v>
      </c>
      <c r="I9" s="19" t="str">
        <f>"3225,0"</f>
        <v>3225,0</v>
      </c>
      <c r="J9" s="20" t="str">
        <f>"2263,6275"</f>
        <v>2263,6275</v>
      </c>
      <c r="K9" s="21" t="s">
        <v>38</v>
      </c>
    </row>
    <row r="10" spans="1:11">
      <c r="A10" s="27" t="s">
        <v>469</v>
      </c>
      <c r="B10" s="28" t="s">
        <v>470</v>
      </c>
      <c r="C10" s="28" t="s">
        <v>471</v>
      </c>
      <c r="D10" s="28" t="str">
        <f>"0,7086"</f>
        <v>0,7086</v>
      </c>
      <c r="E10" s="29" t="s">
        <v>29</v>
      </c>
      <c r="F10" s="29" t="s">
        <v>472</v>
      </c>
      <c r="G10" s="28" t="s">
        <v>35</v>
      </c>
      <c r="H10" s="35" t="s">
        <v>473</v>
      </c>
      <c r="I10" s="27" t="str">
        <f>"2827,5"</f>
        <v>2827,5</v>
      </c>
      <c r="J10" s="28" t="str">
        <f>"2003,7079"</f>
        <v>2003,7079</v>
      </c>
      <c r="K10" s="29" t="s">
        <v>38</v>
      </c>
    </row>
    <row r="11" spans="1:11">
      <c r="A11" s="23" t="s">
        <v>475</v>
      </c>
      <c r="B11" s="24" t="s">
        <v>476</v>
      </c>
      <c r="C11" s="24" t="s">
        <v>477</v>
      </c>
      <c r="D11" s="24" t="str">
        <f>"0,7357"</f>
        <v>0,7357</v>
      </c>
      <c r="E11" s="25" t="s">
        <v>29</v>
      </c>
      <c r="F11" s="25" t="s">
        <v>30</v>
      </c>
      <c r="G11" s="24" t="s">
        <v>34</v>
      </c>
      <c r="H11" s="36" t="s">
        <v>478</v>
      </c>
      <c r="I11" s="23" t="str">
        <f>"1960,0"</f>
        <v>1960,0</v>
      </c>
      <c r="J11" s="24" t="str">
        <f>"1441,9720"</f>
        <v>1441,9720</v>
      </c>
      <c r="K11" s="25" t="s">
        <v>38</v>
      </c>
    </row>
    <row r="13" spans="1:11" ht="15">
      <c r="E13" s="6" t="s">
        <v>17</v>
      </c>
    </row>
    <row r="14" spans="1:11" ht="15">
      <c r="E14" s="6" t="s">
        <v>18</v>
      </c>
    </row>
    <row r="15" spans="1:11" ht="15">
      <c r="E15" s="6" t="s">
        <v>19</v>
      </c>
    </row>
    <row r="16" spans="1:11" ht="15">
      <c r="E16" s="6" t="s">
        <v>20</v>
      </c>
    </row>
    <row r="17" spans="1:5" ht="15">
      <c r="E17" s="6" t="s">
        <v>20</v>
      </c>
    </row>
    <row r="18" spans="1:5" ht="15">
      <c r="E18" s="6" t="s">
        <v>21</v>
      </c>
    </row>
    <row r="19" spans="1:5" ht="15">
      <c r="E19" s="6"/>
    </row>
    <row r="21" spans="1:5" ht="18">
      <c r="A21" s="7" t="s">
        <v>22</v>
      </c>
      <c r="B21" s="8"/>
    </row>
    <row r="22" spans="1:5" ht="15">
      <c r="A22" s="13" t="s">
        <v>58</v>
      </c>
      <c r="B22" s="14"/>
    </row>
    <row r="23" spans="1:5" ht="14.25">
      <c r="A23" s="16"/>
      <c r="B23" s="17" t="s">
        <v>103</v>
      </c>
    </row>
    <row r="24" spans="1:5" ht="15">
      <c r="A24" s="18" t="s">
        <v>50</v>
      </c>
      <c r="B24" s="18" t="s">
        <v>51</v>
      </c>
      <c r="C24" s="18" t="s">
        <v>52</v>
      </c>
      <c r="D24" s="18" t="s">
        <v>53</v>
      </c>
      <c r="E24" s="18" t="s">
        <v>54</v>
      </c>
    </row>
    <row r="25" spans="1:5">
      <c r="A25" s="15" t="s">
        <v>463</v>
      </c>
      <c r="B25" s="1" t="s">
        <v>103</v>
      </c>
      <c r="C25" s="1" t="s">
        <v>101</v>
      </c>
      <c r="D25" s="1" t="s">
        <v>479</v>
      </c>
      <c r="E25" s="4" t="s">
        <v>480</v>
      </c>
    </row>
    <row r="26" spans="1:5">
      <c r="A26" s="15" t="s">
        <v>468</v>
      </c>
      <c r="B26" s="1" t="s">
        <v>103</v>
      </c>
      <c r="C26" s="1" t="s">
        <v>101</v>
      </c>
      <c r="D26" s="1" t="s">
        <v>481</v>
      </c>
      <c r="E26" s="4" t="s">
        <v>482</v>
      </c>
    </row>
    <row r="27" spans="1:5">
      <c r="A27" s="15" t="s">
        <v>458</v>
      </c>
      <c r="B27" s="1" t="s">
        <v>103</v>
      </c>
      <c r="C27" s="1" t="s">
        <v>124</v>
      </c>
      <c r="D27" s="1" t="s">
        <v>483</v>
      </c>
      <c r="E27" s="4" t="s">
        <v>484</v>
      </c>
    </row>
    <row r="28" spans="1:5">
      <c r="A28" s="15" t="s">
        <v>474</v>
      </c>
      <c r="B28" s="1" t="s">
        <v>103</v>
      </c>
      <c r="C28" s="1" t="s">
        <v>101</v>
      </c>
      <c r="D28" s="1" t="s">
        <v>485</v>
      </c>
      <c r="E28" s="4" t="s">
        <v>486</v>
      </c>
    </row>
  </sheetData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topLeftCell="A26" workbookViewId="0">
      <selection activeCell="B43" sqref="B43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17.2851562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8.85546875" style="5" bestFit="1" customWidth="1"/>
    <col min="14" max="16384" width="9.140625" style="1"/>
  </cols>
  <sheetData>
    <row r="1" spans="1:13" ht="29.1" customHeight="1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3"/>
      <c r="J3" s="53"/>
      <c r="K3" s="55" t="s">
        <v>13</v>
      </c>
      <c r="L3" s="51" t="s">
        <v>2</v>
      </c>
      <c r="M3" s="37" t="s">
        <v>1</v>
      </c>
    </row>
    <row r="4" spans="1:13" s="2" customFormat="1" ht="21" customHeight="1" thickBot="1">
      <c r="A4" s="48"/>
      <c r="B4" s="50"/>
      <c r="C4" s="50"/>
      <c r="D4" s="50"/>
      <c r="E4" s="50"/>
      <c r="F4" s="50"/>
      <c r="G4" s="3" t="s">
        <v>5</v>
      </c>
      <c r="H4" s="3" t="s">
        <v>6</v>
      </c>
      <c r="I4" s="3" t="s">
        <v>7</v>
      </c>
      <c r="J4" s="3" t="s">
        <v>8</v>
      </c>
      <c r="K4" s="56"/>
      <c r="L4" s="50"/>
      <c r="M4" s="38"/>
    </row>
    <row r="5" spans="1:13" ht="15">
      <c r="A5" s="39" t="s">
        <v>63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>
      <c r="A6" s="9" t="s">
        <v>65</v>
      </c>
      <c r="B6" s="10" t="s">
        <v>499</v>
      </c>
      <c r="C6" s="10" t="s">
        <v>66</v>
      </c>
      <c r="D6" s="10" t="str">
        <f>"0,8475"</f>
        <v>0,8475</v>
      </c>
      <c r="E6" s="11" t="s">
        <v>29</v>
      </c>
      <c r="F6" s="11" t="s">
        <v>30</v>
      </c>
      <c r="G6" s="12" t="s">
        <v>67</v>
      </c>
      <c r="H6" s="12" t="s">
        <v>67</v>
      </c>
      <c r="I6" s="10" t="s">
        <v>67</v>
      </c>
      <c r="J6" s="12"/>
      <c r="K6" s="9" t="str">
        <f>"102,5"</f>
        <v>102,5</v>
      </c>
      <c r="L6" s="10" t="str">
        <f>"106,4205"</f>
        <v>106,4205</v>
      </c>
      <c r="M6" s="11" t="s">
        <v>38</v>
      </c>
    </row>
    <row r="8" spans="1:13" ht="15">
      <c r="A8" s="40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19" t="s">
        <v>69</v>
      </c>
      <c r="B9" s="20" t="s">
        <v>70</v>
      </c>
      <c r="C9" s="20" t="s">
        <v>71</v>
      </c>
      <c r="D9" s="20" t="str">
        <f>"0,6934"</f>
        <v>0,6934</v>
      </c>
      <c r="E9" s="21" t="s">
        <v>29</v>
      </c>
      <c r="F9" s="21" t="s">
        <v>30</v>
      </c>
      <c r="G9" s="20" t="s">
        <v>72</v>
      </c>
      <c r="H9" s="20" t="s">
        <v>73</v>
      </c>
      <c r="I9" s="20" t="s">
        <v>74</v>
      </c>
      <c r="J9" s="22"/>
      <c r="K9" s="19" t="str">
        <f>"152,5"</f>
        <v>152,5</v>
      </c>
      <c r="L9" s="20" t="str">
        <f>"105,7359"</f>
        <v>105,7359</v>
      </c>
      <c r="M9" s="21" t="s">
        <v>38</v>
      </c>
    </row>
    <row r="10" spans="1:13">
      <c r="A10" s="23" t="s">
        <v>75</v>
      </c>
      <c r="B10" s="24" t="s">
        <v>76</v>
      </c>
      <c r="C10" s="24" t="s">
        <v>77</v>
      </c>
      <c r="D10" s="24" t="str">
        <f>"0,6892"</f>
        <v>0,6892</v>
      </c>
      <c r="E10" s="25" t="s">
        <v>29</v>
      </c>
      <c r="F10" s="25" t="s">
        <v>30</v>
      </c>
      <c r="G10" s="26" t="s">
        <v>78</v>
      </c>
      <c r="H10" s="26" t="s">
        <v>78</v>
      </c>
      <c r="I10" s="26" t="s">
        <v>78</v>
      </c>
      <c r="J10" s="26"/>
      <c r="K10" s="23" t="str">
        <f>"0.00"</f>
        <v>0.00</v>
      </c>
      <c r="L10" s="24" t="str">
        <f>"0,0000"</f>
        <v>0,0000</v>
      </c>
      <c r="M10" s="25" t="s">
        <v>38</v>
      </c>
    </row>
    <row r="12" spans="1:13" ht="15">
      <c r="A12" s="40" t="s">
        <v>79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3">
      <c r="A13" s="9" t="s">
        <v>81</v>
      </c>
      <c r="B13" s="10" t="s">
        <v>489</v>
      </c>
      <c r="C13" s="10" t="s">
        <v>82</v>
      </c>
      <c r="D13" s="10" t="str">
        <f>"0,6145"</f>
        <v>0,6145</v>
      </c>
      <c r="E13" s="11" t="s">
        <v>29</v>
      </c>
      <c r="F13" s="11" t="s">
        <v>30</v>
      </c>
      <c r="G13" s="10" t="s">
        <v>83</v>
      </c>
      <c r="H13" s="10" t="s">
        <v>31</v>
      </c>
      <c r="I13" s="10" t="s">
        <v>84</v>
      </c>
      <c r="J13" s="12"/>
      <c r="K13" s="9" t="str">
        <f>"125,0"</f>
        <v>125,0</v>
      </c>
      <c r="L13" s="10" t="str">
        <f>"134,8937"</f>
        <v>134,8937</v>
      </c>
      <c r="M13" s="11" t="s">
        <v>38</v>
      </c>
    </row>
    <row r="15" spans="1:13" ht="15">
      <c r="A15" s="40" t="s">
        <v>39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3">
      <c r="A16" s="19" t="s">
        <v>86</v>
      </c>
      <c r="B16" s="20" t="s">
        <v>87</v>
      </c>
      <c r="C16" s="20" t="s">
        <v>88</v>
      </c>
      <c r="D16" s="20" t="str">
        <f>"0,5846"</f>
        <v>0,5846</v>
      </c>
      <c r="E16" s="21" t="s">
        <v>29</v>
      </c>
      <c r="F16" s="21" t="s">
        <v>30</v>
      </c>
      <c r="G16" s="20" t="s">
        <v>89</v>
      </c>
      <c r="H16" s="22" t="s">
        <v>90</v>
      </c>
      <c r="I16" s="20" t="s">
        <v>90</v>
      </c>
      <c r="J16" s="22"/>
      <c r="K16" s="19" t="str">
        <f>"220,0"</f>
        <v>220,0</v>
      </c>
      <c r="L16" s="20" t="str">
        <f>"128,6010"</f>
        <v>128,6010</v>
      </c>
      <c r="M16" s="21" t="s">
        <v>38</v>
      </c>
    </row>
    <row r="17" spans="1:13">
      <c r="A17" s="27" t="s">
        <v>92</v>
      </c>
      <c r="B17" s="28" t="s">
        <v>93</v>
      </c>
      <c r="C17" s="28" t="s">
        <v>94</v>
      </c>
      <c r="D17" s="28" t="str">
        <f>"0,5861"</f>
        <v>0,5861</v>
      </c>
      <c r="E17" s="29" t="s">
        <v>29</v>
      </c>
      <c r="F17" s="29" t="s">
        <v>95</v>
      </c>
      <c r="G17" s="28" t="s">
        <v>47</v>
      </c>
      <c r="H17" s="28" t="s">
        <v>48</v>
      </c>
      <c r="I17" s="30" t="s">
        <v>89</v>
      </c>
      <c r="J17" s="30"/>
      <c r="K17" s="27" t="str">
        <f>"200,0"</f>
        <v>200,0</v>
      </c>
      <c r="L17" s="28" t="str">
        <f>"117,2300"</f>
        <v>117,2300</v>
      </c>
      <c r="M17" s="29" t="s">
        <v>38</v>
      </c>
    </row>
    <row r="18" spans="1:13">
      <c r="A18" s="23" t="s">
        <v>97</v>
      </c>
      <c r="B18" s="24" t="s">
        <v>98</v>
      </c>
      <c r="C18" s="24" t="s">
        <v>99</v>
      </c>
      <c r="D18" s="24" t="str">
        <f>"0,5813"</f>
        <v>0,5813</v>
      </c>
      <c r="E18" s="25" t="s">
        <v>29</v>
      </c>
      <c r="F18" s="25" t="s">
        <v>30</v>
      </c>
      <c r="G18" s="24" t="s">
        <v>37</v>
      </c>
      <c r="H18" s="26" t="s">
        <v>100</v>
      </c>
      <c r="I18" s="26" t="s">
        <v>100</v>
      </c>
      <c r="J18" s="26"/>
      <c r="K18" s="23" t="str">
        <f>"150,0"</f>
        <v>150,0</v>
      </c>
      <c r="L18" s="24" t="str">
        <f>"87,1950"</f>
        <v>87,1950</v>
      </c>
      <c r="M18" s="25" t="s">
        <v>38</v>
      </c>
    </row>
    <row r="20" spans="1:13" ht="15">
      <c r="E20" s="6" t="s">
        <v>17</v>
      </c>
    </row>
    <row r="21" spans="1:13" ht="15">
      <c r="E21" s="6" t="s">
        <v>18</v>
      </c>
    </row>
    <row r="22" spans="1:13" ht="15">
      <c r="E22" s="6" t="s">
        <v>19</v>
      </c>
    </row>
    <row r="23" spans="1:13" ht="15">
      <c r="E23" s="6" t="s">
        <v>20</v>
      </c>
    </row>
    <row r="24" spans="1:13" ht="15">
      <c r="E24" s="6" t="s">
        <v>20</v>
      </c>
    </row>
    <row r="25" spans="1:13" ht="15">
      <c r="E25" s="6" t="s">
        <v>21</v>
      </c>
    </row>
    <row r="26" spans="1:13" ht="15">
      <c r="E26" s="6"/>
    </row>
    <row r="28" spans="1:13" ht="18">
      <c r="A28" s="7" t="s">
        <v>22</v>
      </c>
      <c r="B28" s="8"/>
    </row>
    <row r="29" spans="1:13" ht="15">
      <c r="A29" s="13" t="s">
        <v>49</v>
      </c>
      <c r="B29" s="14"/>
    </row>
    <row r="30" spans="1:13" ht="14.25">
      <c r="A30" s="16"/>
      <c r="B30" s="17" t="s">
        <v>508</v>
      </c>
    </row>
    <row r="31" spans="1:13" ht="15">
      <c r="A31" s="18" t="s">
        <v>50</v>
      </c>
      <c r="B31" s="18" t="s">
        <v>51</v>
      </c>
      <c r="C31" s="18" t="s">
        <v>52</v>
      </c>
      <c r="D31" s="18" t="s">
        <v>53</v>
      </c>
      <c r="E31" s="18" t="s">
        <v>54</v>
      </c>
    </row>
    <row r="32" spans="1:13">
      <c r="A32" s="15" t="s">
        <v>64</v>
      </c>
      <c r="B32" s="1" t="s">
        <v>500</v>
      </c>
      <c r="C32" s="1" t="s">
        <v>101</v>
      </c>
      <c r="D32" s="1" t="s">
        <v>67</v>
      </c>
      <c r="E32" s="4" t="s">
        <v>102</v>
      </c>
    </row>
    <row r="35" spans="1:5" ht="15">
      <c r="A35" s="13" t="s">
        <v>58</v>
      </c>
      <c r="B35" s="14"/>
    </row>
    <row r="36" spans="1:5" ht="14.25">
      <c r="A36" s="16"/>
      <c r="B36" s="17" t="s">
        <v>103</v>
      </c>
    </row>
    <row r="37" spans="1:5" ht="15">
      <c r="A37" s="18" t="s">
        <v>50</v>
      </c>
      <c r="B37" s="18" t="s">
        <v>51</v>
      </c>
      <c r="C37" s="18" t="s">
        <v>52</v>
      </c>
      <c r="D37" s="18" t="s">
        <v>53</v>
      </c>
      <c r="E37" s="18" t="s">
        <v>54</v>
      </c>
    </row>
    <row r="38" spans="1:5">
      <c r="A38" s="15" t="s">
        <v>85</v>
      </c>
      <c r="B38" s="1" t="s">
        <v>103</v>
      </c>
      <c r="C38" s="1" t="s">
        <v>59</v>
      </c>
      <c r="D38" s="1" t="s">
        <v>90</v>
      </c>
      <c r="E38" s="4" t="s">
        <v>104</v>
      </c>
    </row>
    <row r="39" spans="1:5">
      <c r="A39" s="15" t="s">
        <v>91</v>
      </c>
      <c r="B39" s="1" t="s">
        <v>103</v>
      </c>
      <c r="C39" s="1" t="s">
        <v>59</v>
      </c>
      <c r="D39" s="1" t="s">
        <v>48</v>
      </c>
      <c r="E39" s="4" t="s">
        <v>105</v>
      </c>
    </row>
    <row r="40" spans="1:5">
      <c r="A40" s="15" t="s">
        <v>68</v>
      </c>
      <c r="B40" s="1" t="s">
        <v>103</v>
      </c>
      <c r="C40" s="1" t="s">
        <v>101</v>
      </c>
      <c r="D40" s="1" t="s">
        <v>74</v>
      </c>
      <c r="E40" s="4" t="s">
        <v>106</v>
      </c>
    </row>
    <row r="41" spans="1:5">
      <c r="A41" s="15" t="s">
        <v>96</v>
      </c>
      <c r="B41" s="1" t="s">
        <v>103</v>
      </c>
      <c r="C41" s="1" t="s">
        <v>59</v>
      </c>
      <c r="D41" s="1" t="s">
        <v>37</v>
      </c>
      <c r="E41" s="4" t="s">
        <v>107</v>
      </c>
    </row>
    <row r="43" spans="1:5" ht="14.25">
      <c r="A43" s="16"/>
      <c r="B43" s="17" t="s">
        <v>510</v>
      </c>
    </row>
    <row r="44" spans="1:5" ht="15">
      <c r="A44" s="18" t="s">
        <v>50</v>
      </c>
      <c r="B44" s="18" t="s">
        <v>51</v>
      </c>
      <c r="C44" s="18" t="s">
        <v>52</v>
      </c>
      <c r="D44" s="18" t="s">
        <v>53</v>
      </c>
      <c r="E44" s="18" t="s">
        <v>54</v>
      </c>
    </row>
    <row r="45" spans="1:5">
      <c r="A45" s="15" t="s">
        <v>80</v>
      </c>
      <c r="B45" s="1" t="s">
        <v>501</v>
      </c>
      <c r="C45" s="1" t="s">
        <v>108</v>
      </c>
      <c r="D45" s="1" t="s">
        <v>84</v>
      </c>
      <c r="E45" s="4" t="s">
        <v>109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5:L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topLeftCell="A10" workbookViewId="0">
      <selection activeCell="B27" sqref="B27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2.2851562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8.85546875" style="5" bestFit="1" customWidth="1"/>
    <col min="22" max="16384" width="9.140625" style="1"/>
  </cols>
  <sheetData>
    <row r="1" spans="1:21" ht="29.1" customHeight="1">
      <c r="A1" s="41" t="s">
        <v>506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2" t="s">
        <v>24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5" t="s">
        <v>13</v>
      </c>
      <c r="T3" s="51" t="s">
        <v>2</v>
      </c>
      <c r="U3" s="37" t="s">
        <v>1</v>
      </c>
    </row>
    <row r="4" spans="1:21" s="2" customFormat="1" ht="21" customHeight="1" thickBot="1">
      <c r="A4" s="48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6"/>
      <c r="T4" s="50"/>
      <c r="U4" s="38"/>
    </row>
    <row r="5" spans="1:21" ht="15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>
      <c r="A6" s="9" t="s">
        <v>27</v>
      </c>
      <c r="B6" s="10" t="s">
        <v>502</v>
      </c>
      <c r="C6" s="10" t="s">
        <v>28</v>
      </c>
      <c r="D6" s="10" t="str">
        <f>"0,7987"</f>
        <v>0,7987</v>
      </c>
      <c r="E6" s="11" t="s">
        <v>29</v>
      </c>
      <c r="F6" s="11" t="s">
        <v>30</v>
      </c>
      <c r="G6" s="12" t="s">
        <v>31</v>
      </c>
      <c r="H6" s="10" t="s">
        <v>31</v>
      </c>
      <c r="I6" s="10" t="s">
        <v>32</v>
      </c>
      <c r="J6" s="12"/>
      <c r="K6" s="10" t="s">
        <v>33</v>
      </c>
      <c r="L6" s="10" t="s">
        <v>34</v>
      </c>
      <c r="M6" s="10" t="s">
        <v>35</v>
      </c>
      <c r="N6" s="12"/>
      <c r="O6" s="10" t="s">
        <v>36</v>
      </c>
      <c r="P6" s="10" t="s">
        <v>32</v>
      </c>
      <c r="Q6" s="10" t="s">
        <v>37</v>
      </c>
      <c r="R6" s="12"/>
      <c r="S6" s="9" t="str">
        <f>"362,5"</f>
        <v>362,5</v>
      </c>
      <c r="T6" s="10" t="str">
        <f>"305,4337"</f>
        <v>305,4337</v>
      </c>
      <c r="U6" s="11" t="s">
        <v>38</v>
      </c>
    </row>
    <row r="8" spans="1:21" ht="15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1">
      <c r="A9" s="9" t="s">
        <v>41</v>
      </c>
      <c r="B9" s="10" t="s">
        <v>505</v>
      </c>
      <c r="C9" s="10" t="s">
        <v>42</v>
      </c>
      <c r="D9" s="10" t="str">
        <f>"0,5878"</f>
        <v>0,5878</v>
      </c>
      <c r="E9" s="11" t="s">
        <v>29</v>
      </c>
      <c r="F9" s="11" t="s">
        <v>43</v>
      </c>
      <c r="G9" s="10" t="s">
        <v>44</v>
      </c>
      <c r="H9" s="10" t="s">
        <v>45</v>
      </c>
      <c r="I9" s="12"/>
      <c r="J9" s="12"/>
      <c r="K9" s="10" t="s">
        <v>46</v>
      </c>
      <c r="L9" s="10" t="s">
        <v>47</v>
      </c>
      <c r="M9" s="10" t="s">
        <v>48</v>
      </c>
      <c r="N9" s="12"/>
      <c r="O9" s="10" t="s">
        <v>44</v>
      </c>
      <c r="P9" s="10" t="s">
        <v>45</v>
      </c>
      <c r="Q9" s="12"/>
      <c r="R9" s="12"/>
      <c r="S9" s="9" t="str">
        <f>"720,0"</f>
        <v>720,0</v>
      </c>
      <c r="T9" s="10" t="str">
        <f>"567,0612"</f>
        <v>567,0612</v>
      </c>
      <c r="U9" s="11" t="s">
        <v>38</v>
      </c>
    </row>
    <row r="11" spans="1:21" ht="15">
      <c r="E11" s="6" t="s">
        <v>17</v>
      </c>
    </row>
    <row r="12" spans="1:21" ht="15">
      <c r="E12" s="6" t="s">
        <v>18</v>
      </c>
    </row>
    <row r="13" spans="1:21" ht="15">
      <c r="E13" s="6" t="s">
        <v>19</v>
      </c>
    </row>
    <row r="14" spans="1:21" ht="15">
      <c r="E14" s="6" t="s">
        <v>20</v>
      </c>
    </row>
    <row r="15" spans="1:21" ht="15">
      <c r="E15" s="6" t="s">
        <v>20</v>
      </c>
    </row>
    <row r="16" spans="1:21" ht="15">
      <c r="E16" s="6" t="s">
        <v>21</v>
      </c>
    </row>
    <row r="17" spans="1:5" ht="15">
      <c r="E17" s="6"/>
    </row>
    <row r="19" spans="1:5" ht="18">
      <c r="A19" s="7" t="s">
        <v>22</v>
      </c>
      <c r="B19" s="8"/>
    </row>
    <row r="20" spans="1:5" ht="15">
      <c r="A20" s="13" t="s">
        <v>49</v>
      </c>
      <c r="B20" s="14"/>
    </row>
    <row r="21" spans="1:5" ht="14.25">
      <c r="A21" s="16"/>
      <c r="B21" s="17" t="s">
        <v>508</v>
      </c>
    </row>
    <row r="22" spans="1:5" ht="15">
      <c r="A22" s="18" t="s">
        <v>50</v>
      </c>
      <c r="B22" s="18" t="s">
        <v>51</v>
      </c>
      <c r="C22" s="18" t="s">
        <v>52</v>
      </c>
      <c r="D22" s="18" t="s">
        <v>53</v>
      </c>
      <c r="E22" s="18" t="s">
        <v>54</v>
      </c>
    </row>
    <row r="23" spans="1:5">
      <c r="A23" s="15" t="s">
        <v>26</v>
      </c>
      <c r="B23" s="1" t="s">
        <v>503</v>
      </c>
      <c r="C23" s="1" t="s">
        <v>55</v>
      </c>
      <c r="D23" s="1" t="s">
        <v>56</v>
      </c>
      <c r="E23" s="4" t="s">
        <v>57</v>
      </c>
    </row>
    <row r="26" spans="1:5" ht="15">
      <c r="A26" s="13" t="s">
        <v>58</v>
      </c>
      <c r="B26" s="14"/>
    </row>
    <row r="27" spans="1:5" ht="14.25">
      <c r="A27" s="16"/>
      <c r="B27" s="17" t="s">
        <v>510</v>
      </c>
    </row>
    <row r="28" spans="1:5" ht="15">
      <c r="A28" s="18" t="s">
        <v>50</v>
      </c>
      <c r="B28" s="18" t="s">
        <v>51</v>
      </c>
      <c r="C28" s="18" t="s">
        <v>52</v>
      </c>
      <c r="D28" s="18" t="s">
        <v>53</v>
      </c>
      <c r="E28" s="18" t="s">
        <v>54</v>
      </c>
    </row>
    <row r="29" spans="1:5">
      <c r="A29" s="15" t="s">
        <v>40</v>
      </c>
      <c r="B29" s="1" t="s">
        <v>504</v>
      </c>
      <c r="C29" s="1" t="s">
        <v>59</v>
      </c>
      <c r="D29" s="1" t="s">
        <v>60</v>
      </c>
      <c r="E29" s="4" t="s">
        <v>61</v>
      </c>
    </row>
  </sheetData>
  <mergeCells count="13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R3"/>
    <mergeCell ref="S3:S4"/>
    <mergeCell ref="T3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opLeftCell="A8" workbookViewId="0">
      <selection activeCell="D25" sqref="D24:D25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5" style="5" bestFit="1" customWidth="1"/>
    <col min="7" max="7" width="5.5703125" style="1" bestFit="1" customWidth="1"/>
    <col min="8" max="8" width="4.5703125" style="33" bestFit="1" customWidth="1"/>
    <col min="9" max="9" width="11.28515625" style="4" bestFit="1" customWidth="1"/>
    <col min="10" max="10" width="9.5703125" style="1" bestFit="1" customWidth="1"/>
    <col min="11" max="11" width="8.85546875" style="5" bestFit="1" customWidth="1"/>
    <col min="12" max="16384" width="9.140625" style="1"/>
  </cols>
  <sheetData>
    <row r="1" spans="1:11" ht="29.1" customHeight="1">
      <c r="A1" s="41" t="s">
        <v>437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5" t="s">
        <v>456</v>
      </c>
      <c r="J3" s="51" t="s">
        <v>2</v>
      </c>
      <c r="K3" s="37" t="s">
        <v>1</v>
      </c>
    </row>
    <row r="4" spans="1:11" s="2" customFormat="1" ht="21" customHeight="1" thickBot="1">
      <c r="A4" s="48"/>
      <c r="B4" s="50"/>
      <c r="C4" s="50"/>
      <c r="D4" s="50"/>
      <c r="E4" s="50"/>
      <c r="F4" s="50"/>
      <c r="G4" s="3" t="s">
        <v>454</v>
      </c>
      <c r="H4" s="31" t="s">
        <v>455</v>
      </c>
      <c r="I4" s="56"/>
      <c r="J4" s="50"/>
      <c r="K4" s="38"/>
    </row>
    <row r="5" spans="1:11" ht="15">
      <c r="A5" s="39" t="s">
        <v>79</v>
      </c>
      <c r="B5" s="39"/>
      <c r="C5" s="39"/>
      <c r="D5" s="39"/>
      <c r="E5" s="39"/>
      <c r="F5" s="39"/>
      <c r="G5" s="39"/>
      <c r="H5" s="39"/>
      <c r="I5" s="39"/>
      <c r="J5" s="39"/>
    </row>
    <row r="6" spans="1:11">
      <c r="A6" s="9" t="s">
        <v>439</v>
      </c>
      <c r="B6" s="10" t="s">
        <v>440</v>
      </c>
      <c r="C6" s="10" t="s">
        <v>441</v>
      </c>
      <c r="D6" s="10" t="str">
        <f>"0,6230"</f>
        <v>0,6230</v>
      </c>
      <c r="E6" s="11" t="s">
        <v>29</v>
      </c>
      <c r="F6" s="11" t="s">
        <v>442</v>
      </c>
      <c r="G6" s="10" t="s">
        <v>443</v>
      </c>
      <c r="H6" s="32" t="s">
        <v>444</v>
      </c>
      <c r="I6" s="9" t="str">
        <f>"3062,5"</f>
        <v>3062,5</v>
      </c>
      <c r="J6" s="10" t="str">
        <f>"1907,9376"</f>
        <v>1907,9376</v>
      </c>
      <c r="K6" s="11" t="s">
        <v>38</v>
      </c>
    </row>
    <row r="8" spans="1:11" ht="15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</row>
    <row r="9" spans="1:11">
      <c r="A9" s="9" t="s">
        <v>446</v>
      </c>
      <c r="B9" s="10" t="s">
        <v>487</v>
      </c>
      <c r="C9" s="10" t="s">
        <v>447</v>
      </c>
      <c r="D9" s="10" t="str">
        <f>"0,6036"</f>
        <v>0,6036</v>
      </c>
      <c r="E9" s="11" t="s">
        <v>29</v>
      </c>
      <c r="F9" s="11" t="s">
        <v>448</v>
      </c>
      <c r="G9" s="10" t="s">
        <v>449</v>
      </c>
      <c r="H9" s="32" t="s">
        <v>444</v>
      </c>
      <c r="I9" s="9" t="str">
        <f>"3237,5"</f>
        <v>3237,5</v>
      </c>
      <c r="J9" s="10" t="str">
        <f>"1973,8600"</f>
        <v>1973,8600</v>
      </c>
      <c r="K9" s="11" t="s">
        <v>38</v>
      </c>
    </row>
    <row r="11" spans="1:11" ht="15">
      <c r="E11" s="6" t="s">
        <v>17</v>
      </c>
    </row>
    <row r="12" spans="1:11" ht="15">
      <c r="E12" s="6" t="s">
        <v>18</v>
      </c>
    </row>
    <row r="13" spans="1:11" ht="15">
      <c r="E13" s="6" t="s">
        <v>19</v>
      </c>
    </row>
    <row r="14" spans="1:11" ht="15">
      <c r="E14" s="6" t="s">
        <v>20</v>
      </c>
    </row>
    <row r="15" spans="1:11" ht="15">
      <c r="E15" s="6" t="s">
        <v>20</v>
      </c>
    </row>
    <row r="16" spans="1:11" ht="15">
      <c r="E16" s="6" t="s">
        <v>21</v>
      </c>
    </row>
    <row r="17" spans="1:5" ht="15">
      <c r="E17" s="6"/>
    </row>
    <row r="19" spans="1:5" ht="18">
      <c r="A19" s="7" t="s">
        <v>22</v>
      </c>
      <c r="B19" s="8"/>
    </row>
    <row r="20" spans="1:5" ht="15">
      <c r="A20" s="13" t="s">
        <v>58</v>
      </c>
      <c r="B20" s="14"/>
    </row>
    <row r="21" spans="1:5" ht="14.25">
      <c r="A21" s="16"/>
      <c r="B21" s="17" t="s">
        <v>103</v>
      </c>
    </row>
    <row r="22" spans="1:5" ht="15">
      <c r="A22" s="18" t="s">
        <v>50</v>
      </c>
      <c r="B22" s="18" t="s">
        <v>51</v>
      </c>
      <c r="C22" s="18" t="s">
        <v>52</v>
      </c>
      <c r="D22" s="18" t="s">
        <v>53</v>
      </c>
      <c r="E22" s="18" t="s">
        <v>54</v>
      </c>
    </row>
    <row r="23" spans="1:5">
      <c r="A23" s="15" t="s">
        <v>438</v>
      </c>
      <c r="B23" s="1" t="s">
        <v>103</v>
      </c>
      <c r="C23" s="1" t="s">
        <v>108</v>
      </c>
      <c r="D23" s="1" t="s">
        <v>450</v>
      </c>
      <c r="E23" s="4" t="s">
        <v>451</v>
      </c>
    </row>
    <row r="25" spans="1:5" ht="14.25">
      <c r="A25" s="16"/>
      <c r="B25" s="17" t="s">
        <v>508</v>
      </c>
    </row>
    <row r="26" spans="1:5" ht="15">
      <c r="A26" s="18" t="s">
        <v>50</v>
      </c>
      <c r="B26" s="18" t="s">
        <v>51</v>
      </c>
      <c r="C26" s="18" t="s">
        <v>52</v>
      </c>
      <c r="D26" s="18" t="s">
        <v>53</v>
      </c>
      <c r="E26" s="18" t="s">
        <v>54</v>
      </c>
    </row>
    <row r="27" spans="1:5">
      <c r="A27" s="15" t="s">
        <v>445</v>
      </c>
      <c r="B27" s="1" t="s">
        <v>513</v>
      </c>
      <c r="C27" s="1" t="s">
        <v>59</v>
      </c>
      <c r="D27" s="1" t="s">
        <v>452</v>
      </c>
      <c r="E27" s="4" t="s">
        <v>453</v>
      </c>
    </row>
  </sheetData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opLeftCell="A34" workbookViewId="0">
      <selection activeCell="B54" sqref="B54"/>
    </sheetView>
  </sheetViews>
  <sheetFormatPr defaultRowHeight="12.75"/>
  <cols>
    <col min="1" max="1" width="28.28515625" style="4" bestFit="1" customWidth="1"/>
    <col min="2" max="2" width="29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1.7109375" style="5" bestFit="1" customWidth="1"/>
    <col min="7" max="9" width="5.5703125" style="1" bestFit="1" customWidth="1"/>
    <col min="10" max="10" width="3.28515625" style="1" bestFit="1" customWidth="1"/>
    <col min="11" max="11" width="11.28515625" style="4" bestFit="1" customWidth="1"/>
    <col min="12" max="12" width="8.5703125" style="1" bestFit="1" customWidth="1"/>
    <col min="13" max="13" width="15.140625" style="5" bestFit="1" customWidth="1"/>
    <col min="14" max="16384" width="9.140625" style="1"/>
  </cols>
  <sheetData>
    <row r="1" spans="1:13" ht="29.1" customHeight="1">
      <c r="A1" s="41" t="s">
        <v>404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3"/>
      <c r="J3" s="54"/>
      <c r="K3" s="55" t="s">
        <v>13</v>
      </c>
      <c r="L3" s="51" t="s">
        <v>2</v>
      </c>
      <c r="M3" s="37" t="s">
        <v>1</v>
      </c>
    </row>
    <row r="4" spans="1:13" s="2" customFormat="1" ht="21" customHeight="1" thickBot="1">
      <c r="A4" s="48"/>
      <c r="B4" s="50"/>
      <c r="C4" s="50"/>
      <c r="D4" s="50"/>
      <c r="E4" s="50"/>
      <c r="F4" s="50"/>
      <c r="G4" s="3" t="s">
        <v>9</v>
      </c>
      <c r="H4" s="3" t="s">
        <v>10</v>
      </c>
      <c r="I4" s="3" t="s">
        <v>11</v>
      </c>
      <c r="J4" s="3" t="s">
        <v>12</v>
      </c>
      <c r="K4" s="56"/>
      <c r="L4" s="50"/>
      <c r="M4" s="38"/>
    </row>
    <row r="5" spans="1:13" ht="15">
      <c r="A5" s="39" t="s">
        <v>111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>
      <c r="A6" s="9" t="s">
        <v>406</v>
      </c>
      <c r="B6" s="10" t="s">
        <v>407</v>
      </c>
      <c r="C6" s="10" t="s">
        <v>115</v>
      </c>
      <c r="D6" s="10" t="str">
        <f>"0,9102"</f>
        <v>0,9102</v>
      </c>
      <c r="E6" s="11" t="s">
        <v>29</v>
      </c>
      <c r="F6" s="11" t="s">
        <v>30</v>
      </c>
      <c r="G6" s="10" t="s">
        <v>217</v>
      </c>
      <c r="H6" s="12" t="s">
        <v>218</v>
      </c>
      <c r="I6" s="12"/>
      <c r="J6" s="12"/>
      <c r="K6" s="9" t="str">
        <f>"80,0"</f>
        <v>80,0</v>
      </c>
      <c r="L6" s="10" t="str">
        <f>"72,8160"</f>
        <v>72,8160</v>
      </c>
      <c r="M6" s="11" t="s">
        <v>38</v>
      </c>
    </row>
    <row r="8" spans="1:13" ht="15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9" t="s">
        <v>256</v>
      </c>
      <c r="B9" s="10" t="s">
        <v>257</v>
      </c>
      <c r="C9" s="10" t="s">
        <v>258</v>
      </c>
      <c r="D9" s="10" t="str">
        <f>"0,6743"</f>
        <v>0,6743</v>
      </c>
      <c r="E9" s="11" t="s">
        <v>29</v>
      </c>
      <c r="F9" s="11" t="s">
        <v>30</v>
      </c>
      <c r="G9" s="10" t="s">
        <v>167</v>
      </c>
      <c r="H9" s="10" t="s">
        <v>83</v>
      </c>
      <c r="I9" s="10" t="s">
        <v>228</v>
      </c>
      <c r="J9" s="12"/>
      <c r="K9" s="9" t="str">
        <f>"127,5"</f>
        <v>127,5</v>
      </c>
      <c r="L9" s="10" t="str">
        <f>"85,9669"</f>
        <v>85,9669</v>
      </c>
      <c r="M9" s="11" t="s">
        <v>38</v>
      </c>
    </row>
    <row r="11" spans="1:13" ht="15">
      <c r="A11" s="40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19" t="s">
        <v>293</v>
      </c>
      <c r="B12" s="20" t="s">
        <v>294</v>
      </c>
      <c r="C12" s="20" t="s">
        <v>295</v>
      </c>
      <c r="D12" s="20" t="str">
        <f>"0,5853"</f>
        <v>0,5853</v>
      </c>
      <c r="E12" s="21" t="s">
        <v>29</v>
      </c>
      <c r="F12" s="21" t="s">
        <v>30</v>
      </c>
      <c r="G12" s="22" t="s">
        <v>73</v>
      </c>
      <c r="H12" s="20" t="s">
        <v>73</v>
      </c>
      <c r="I12" s="20" t="s">
        <v>145</v>
      </c>
      <c r="J12" s="22"/>
      <c r="K12" s="19" t="str">
        <f>"155,0"</f>
        <v>155,0</v>
      </c>
      <c r="L12" s="20" t="str">
        <f>"90,7292"</f>
        <v>90,7292</v>
      </c>
      <c r="M12" s="21" t="s">
        <v>38</v>
      </c>
    </row>
    <row r="13" spans="1:13">
      <c r="A13" s="27" t="s">
        <v>409</v>
      </c>
      <c r="B13" s="28" t="s">
        <v>410</v>
      </c>
      <c r="C13" s="28" t="s">
        <v>299</v>
      </c>
      <c r="D13" s="28" t="str">
        <f>"0,5905"</f>
        <v>0,5905</v>
      </c>
      <c r="E13" s="29" t="s">
        <v>29</v>
      </c>
      <c r="F13" s="29" t="s">
        <v>411</v>
      </c>
      <c r="G13" s="28" t="s">
        <v>46</v>
      </c>
      <c r="H13" s="28" t="s">
        <v>154</v>
      </c>
      <c r="I13" s="28" t="s">
        <v>89</v>
      </c>
      <c r="J13" s="30"/>
      <c r="K13" s="27" t="str">
        <f>"210,0"</f>
        <v>210,0</v>
      </c>
      <c r="L13" s="28" t="str">
        <f>"124,0050"</f>
        <v>124,0050</v>
      </c>
      <c r="M13" s="29" t="s">
        <v>38</v>
      </c>
    </row>
    <row r="14" spans="1:13">
      <c r="A14" s="23" t="s">
        <v>413</v>
      </c>
      <c r="B14" s="24" t="s">
        <v>488</v>
      </c>
      <c r="C14" s="24" t="s">
        <v>414</v>
      </c>
      <c r="D14" s="24" t="str">
        <f>"0,5835"</f>
        <v>0,5835</v>
      </c>
      <c r="E14" s="25" t="s">
        <v>29</v>
      </c>
      <c r="F14" s="25" t="s">
        <v>187</v>
      </c>
      <c r="G14" s="24" t="s">
        <v>415</v>
      </c>
      <c r="H14" s="24" t="s">
        <v>45</v>
      </c>
      <c r="I14" s="26" t="s">
        <v>123</v>
      </c>
      <c r="J14" s="26"/>
      <c r="K14" s="23" t="str">
        <f>"260,0"</f>
        <v>260,0</v>
      </c>
      <c r="L14" s="24" t="str">
        <f>"154,7575"</f>
        <v>154,7575</v>
      </c>
      <c r="M14" s="25" t="s">
        <v>38</v>
      </c>
    </row>
    <row r="16" spans="1:13" ht="15">
      <c r="A16" s="40" t="s">
        <v>117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3">
      <c r="A17" s="9" t="s">
        <v>417</v>
      </c>
      <c r="B17" s="10" t="s">
        <v>418</v>
      </c>
      <c r="C17" s="10" t="s">
        <v>419</v>
      </c>
      <c r="D17" s="10" t="str">
        <f>"0,5652"</f>
        <v>0,5652</v>
      </c>
      <c r="E17" s="11" t="s">
        <v>29</v>
      </c>
      <c r="F17" s="11" t="s">
        <v>420</v>
      </c>
      <c r="G17" s="10" t="s">
        <v>421</v>
      </c>
      <c r="H17" s="10" t="s">
        <v>44</v>
      </c>
      <c r="I17" s="10" t="s">
        <v>422</v>
      </c>
      <c r="J17" s="12"/>
      <c r="K17" s="9" t="str">
        <f>"252,5"</f>
        <v>252,5</v>
      </c>
      <c r="L17" s="10" t="str">
        <f>"142,7130"</f>
        <v>142,7130</v>
      </c>
      <c r="M17" s="11" t="s">
        <v>38</v>
      </c>
    </row>
    <row r="19" spans="1:13" ht="15">
      <c r="A19" s="40" t="s">
        <v>323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3">
      <c r="A20" s="9" t="s">
        <v>424</v>
      </c>
      <c r="B20" s="10" t="s">
        <v>512</v>
      </c>
      <c r="C20" s="10" t="s">
        <v>425</v>
      </c>
      <c r="D20" s="10" t="str">
        <f>"0,5525"</f>
        <v>0,5525</v>
      </c>
      <c r="E20" s="11" t="s">
        <v>29</v>
      </c>
      <c r="F20" s="11" t="s">
        <v>30</v>
      </c>
      <c r="G20" s="10" t="s">
        <v>426</v>
      </c>
      <c r="H20" s="10" t="s">
        <v>153</v>
      </c>
      <c r="I20" s="10" t="s">
        <v>48</v>
      </c>
      <c r="J20" s="12"/>
      <c r="K20" s="9" t="str">
        <f>"200,0"</f>
        <v>200,0</v>
      </c>
      <c r="L20" s="10" t="str">
        <f>"157,0063"</f>
        <v>157,0063</v>
      </c>
      <c r="M20" s="11" t="s">
        <v>427</v>
      </c>
    </row>
    <row r="22" spans="1:13" ht="15">
      <c r="E22" s="6" t="s">
        <v>17</v>
      </c>
    </row>
    <row r="23" spans="1:13" ht="15">
      <c r="E23" s="6" t="s">
        <v>18</v>
      </c>
    </row>
    <row r="24" spans="1:13" ht="15">
      <c r="E24" s="6" t="s">
        <v>19</v>
      </c>
    </row>
    <row r="25" spans="1:13" ht="15">
      <c r="E25" s="6" t="s">
        <v>20</v>
      </c>
    </row>
    <row r="26" spans="1:13" ht="15">
      <c r="E26" s="6" t="s">
        <v>20</v>
      </c>
    </row>
    <row r="27" spans="1:13" ht="15">
      <c r="E27" s="6" t="s">
        <v>21</v>
      </c>
    </row>
    <row r="28" spans="1:13" ht="15">
      <c r="E28" s="6"/>
    </row>
    <row r="30" spans="1:13" ht="18">
      <c r="A30" s="7" t="s">
        <v>22</v>
      </c>
      <c r="B30" s="8"/>
    </row>
    <row r="31" spans="1:13" ht="15">
      <c r="A31" s="13" t="s">
        <v>49</v>
      </c>
      <c r="B31" s="14"/>
    </row>
    <row r="32" spans="1:13" ht="14.25">
      <c r="A32" s="16"/>
      <c r="B32" s="17" t="s">
        <v>428</v>
      </c>
    </row>
    <row r="33" spans="1:5" ht="15">
      <c r="A33" s="18" t="s">
        <v>50</v>
      </c>
      <c r="B33" s="18" t="s">
        <v>51</v>
      </c>
      <c r="C33" s="18" t="s">
        <v>52</v>
      </c>
      <c r="D33" s="18" t="s">
        <v>53</v>
      </c>
      <c r="E33" s="18" t="s">
        <v>54</v>
      </c>
    </row>
    <row r="34" spans="1:5">
      <c r="A34" s="15" t="s">
        <v>405</v>
      </c>
      <c r="B34" s="1" t="s">
        <v>176</v>
      </c>
      <c r="C34" s="1" t="s">
        <v>124</v>
      </c>
      <c r="D34" s="1" t="s">
        <v>217</v>
      </c>
      <c r="E34" s="4" t="s">
        <v>429</v>
      </c>
    </row>
    <row r="37" spans="1:5" ht="15">
      <c r="A37" s="13" t="s">
        <v>58</v>
      </c>
      <c r="B37" s="14"/>
    </row>
    <row r="38" spans="1:5" ht="14.25">
      <c r="A38" s="16"/>
      <c r="B38" s="17" t="s">
        <v>175</v>
      </c>
    </row>
    <row r="39" spans="1:5" ht="15">
      <c r="A39" s="18" t="s">
        <v>50</v>
      </c>
      <c r="B39" s="18" t="s">
        <v>51</v>
      </c>
      <c r="C39" s="18" t="s">
        <v>52</v>
      </c>
      <c r="D39" s="18" t="s">
        <v>53</v>
      </c>
      <c r="E39" s="18" t="s">
        <v>54</v>
      </c>
    </row>
    <row r="40" spans="1:5">
      <c r="A40" s="15" t="s">
        <v>292</v>
      </c>
      <c r="B40" s="1" t="s">
        <v>176</v>
      </c>
      <c r="C40" s="1" t="s">
        <v>59</v>
      </c>
      <c r="D40" s="1" t="s">
        <v>145</v>
      </c>
      <c r="E40" s="4" t="s">
        <v>430</v>
      </c>
    </row>
    <row r="41" spans="1:5">
      <c r="A41" s="15" t="s">
        <v>255</v>
      </c>
      <c r="B41" s="1" t="s">
        <v>344</v>
      </c>
      <c r="C41" s="1" t="s">
        <v>55</v>
      </c>
      <c r="D41" s="1" t="s">
        <v>228</v>
      </c>
      <c r="E41" s="4" t="s">
        <v>431</v>
      </c>
    </row>
    <row r="43" spans="1:5" ht="14.25">
      <c r="A43" s="16"/>
      <c r="B43" s="17" t="s">
        <v>432</v>
      </c>
    </row>
    <row r="44" spans="1:5" ht="15">
      <c r="A44" s="18" t="s">
        <v>50</v>
      </c>
      <c r="B44" s="18" t="s">
        <v>51</v>
      </c>
      <c r="C44" s="18" t="s">
        <v>52</v>
      </c>
      <c r="D44" s="18" t="s">
        <v>53</v>
      </c>
      <c r="E44" s="18" t="s">
        <v>54</v>
      </c>
    </row>
    <row r="45" spans="1:5">
      <c r="A45" s="15" t="s">
        <v>408</v>
      </c>
      <c r="B45" s="1" t="s">
        <v>336</v>
      </c>
      <c r="C45" s="1" t="s">
        <v>59</v>
      </c>
      <c r="D45" s="1" t="s">
        <v>89</v>
      </c>
      <c r="E45" s="4" t="s">
        <v>433</v>
      </c>
    </row>
    <row r="47" spans="1:5" ht="14.25">
      <c r="A47" s="16"/>
      <c r="B47" s="17" t="s">
        <v>103</v>
      </c>
    </row>
    <row r="48" spans="1:5" ht="15">
      <c r="A48" s="18" t="s">
        <v>50</v>
      </c>
      <c r="B48" s="18" t="s">
        <v>51</v>
      </c>
      <c r="C48" s="18" t="s">
        <v>52</v>
      </c>
      <c r="D48" s="18" t="s">
        <v>53</v>
      </c>
      <c r="E48" s="18" t="s">
        <v>54</v>
      </c>
    </row>
    <row r="49" spans="1:5">
      <c r="A49" s="15" t="s">
        <v>416</v>
      </c>
      <c r="B49" s="1" t="s">
        <v>103</v>
      </c>
      <c r="C49" s="1" t="s">
        <v>127</v>
      </c>
      <c r="D49" s="1" t="s">
        <v>422</v>
      </c>
      <c r="E49" s="4" t="s">
        <v>434</v>
      </c>
    </row>
    <row r="51" spans="1:5" ht="14.25">
      <c r="A51" s="16"/>
      <c r="B51" s="17" t="s">
        <v>508</v>
      </c>
    </row>
    <row r="52" spans="1:5" ht="15">
      <c r="A52" s="18" t="s">
        <v>50</v>
      </c>
      <c r="B52" s="18" t="s">
        <v>51</v>
      </c>
      <c r="C52" s="18" t="s">
        <v>52</v>
      </c>
      <c r="D52" s="18" t="s">
        <v>53</v>
      </c>
      <c r="E52" s="18" t="s">
        <v>54</v>
      </c>
    </row>
    <row r="53" spans="1:5">
      <c r="A53" s="15" t="s">
        <v>423</v>
      </c>
      <c r="B53" s="1" t="s">
        <v>504</v>
      </c>
      <c r="C53" s="1" t="s">
        <v>349</v>
      </c>
      <c r="D53" s="1" t="s">
        <v>48</v>
      </c>
      <c r="E53" s="4" t="s">
        <v>435</v>
      </c>
    </row>
    <row r="54" spans="1:5">
      <c r="A54" s="15" t="s">
        <v>412</v>
      </c>
      <c r="B54" s="1" t="s">
        <v>509</v>
      </c>
      <c r="C54" s="1" t="s">
        <v>59</v>
      </c>
      <c r="D54" s="1" t="s">
        <v>45</v>
      </c>
      <c r="E54" s="4" t="s">
        <v>436</v>
      </c>
    </row>
  </sheetData>
  <mergeCells count="16"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6:L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B27" sqref="B27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6.7109375" style="5" bestFit="1" customWidth="1"/>
    <col min="7" max="9" width="5.5703125" style="1" bestFit="1" customWidth="1"/>
    <col min="10" max="10" width="3.28515625" style="1" bestFit="1" customWidth="1"/>
    <col min="11" max="11" width="11.28515625" style="4" bestFit="1" customWidth="1"/>
    <col min="12" max="12" width="8.5703125" style="1" bestFit="1" customWidth="1"/>
    <col min="13" max="13" width="8.85546875" style="5" bestFit="1" customWidth="1"/>
    <col min="14" max="16384" width="9.140625" style="1"/>
  </cols>
  <sheetData>
    <row r="1" spans="1:13" ht="29.1" customHeight="1">
      <c r="A1" s="41" t="s">
        <v>393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3"/>
      <c r="J3" s="54"/>
      <c r="K3" s="55" t="s">
        <v>13</v>
      </c>
      <c r="L3" s="51" t="s">
        <v>2</v>
      </c>
      <c r="M3" s="37" t="s">
        <v>1</v>
      </c>
    </row>
    <row r="4" spans="1:13" s="2" customFormat="1" ht="21" customHeight="1" thickBot="1">
      <c r="A4" s="48"/>
      <c r="B4" s="50"/>
      <c r="C4" s="50"/>
      <c r="D4" s="50"/>
      <c r="E4" s="50"/>
      <c r="F4" s="50"/>
      <c r="G4" s="3" t="s">
        <v>9</v>
      </c>
      <c r="H4" s="3" t="s">
        <v>10</v>
      </c>
      <c r="I4" s="3" t="s">
        <v>11</v>
      </c>
      <c r="J4" s="3" t="s">
        <v>12</v>
      </c>
      <c r="K4" s="56"/>
      <c r="L4" s="50"/>
      <c r="M4" s="38"/>
    </row>
    <row r="5" spans="1:13" ht="15">
      <c r="A5" s="39" t="s">
        <v>79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>
      <c r="A6" s="9" t="s">
        <v>81</v>
      </c>
      <c r="B6" s="10" t="s">
        <v>489</v>
      </c>
      <c r="C6" s="10" t="s">
        <v>82</v>
      </c>
      <c r="D6" s="10" t="str">
        <f>"0,6145"</f>
        <v>0,6145</v>
      </c>
      <c r="E6" s="11" t="s">
        <v>29</v>
      </c>
      <c r="F6" s="11" t="s">
        <v>30</v>
      </c>
      <c r="G6" s="10" t="s">
        <v>48</v>
      </c>
      <c r="H6" s="10" t="s">
        <v>89</v>
      </c>
      <c r="I6" s="10" t="s">
        <v>90</v>
      </c>
      <c r="J6" s="12"/>
      <c r="K6" s="9" t="str">
        <f>"220,0"</f>
        <v>220,0</v>
      </c>
      <c r="L6" s="10" t="str">
        <f>"237,4130"</f>
        <v>237,4130</v>
      </c>
      <c r="M6" s="11" t="s">
        <v>38</v>
      </c>
    </row>
    <row r="8" spans="1:13" ht="15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19" t="s">
        <v>395</v>
      </c>
      <c r="B9" s="20" t="s">
        <v>396</v>
      </c>
      <c r="C9" s="20" t="s">
        <v>397</v>
      </c>
      <c r="D9" s="20" t="str">
        <f>"0,6007"</f>
        <v>0,6007</v>
      </c>
      <c r="E9" s="21" t="s">
        <v>29</v>
      </c>
      <c r="F9" s="21" t="s">
        <v>398</v>
      </c>
      <c r="G9" s="20" t="s">
        <v>44</v>
      </c>
      <c r="H9" s="22" t="s">
        <v>45</v>
      </c>
      <c r="I9" s="22" t="s">
        <v>45</v>
      </c>
      <c r="J9" s="22"/>
      <c r="K9" s="19" t="str">
        <f>"240,0"</f>
        <v>240,0</v>
      </c>
      <c r="L9" s="20" t="str">
        <f>"144,1560"</f>
        <v>144,1560</v>
      </c>
      <c r="M9" s="21" t="s">
        <v>38</v>
      </c>
    </row>
    <row r="10" spans="1:13">
      <c r="A10" s="23" t="s">
        <v>399</v>
      </c>
      <c r="B10" s="24" t="s">
        <v>98</v>
      </c>
      <c r="C10" s="24" t="s">
        <v>99</v>
      </c>
      <c r="D10" s="24" t="str">
        <f>"0,5813"</f>
        <v>0,5813</v>
      </c>
      <c r="E10" s="25" t="s">
        <v>29</v>
      </c>
      <c r="F10" s="25" t="s">
        <v>30</v>
      </c>
      <c r="G10" s="24" t="s">
        <v>89</v>
      </c>
      <c r="H10" s="24" t="s">
        <v>90</v>
      </c>
      <c r="I10" s="24" t="s">
        <v>400</v>
      </c>
      <c r="J10" s="26"/>
      <c r="K10" s="23" t="str">
        <f>"230,0"</f>
        <v>230,0</v>
      </c>
      <c r="L10" s="24" t="str">
        <f>"133,6990"</f>
        <v>133,6990</v>
      </c>
      <c r="M10" s="25" t="s">
        <v>38</v>
      </c>
    </row>
    <row r="12" spans="1:13" ht="15">
      <c r="E12" s="6" t="s">
        <v>17</v>
      </c>
    </row>
    <row r="13" spans="1:13" ht="15">
      <c r="E13" s="6" t="s">
        <v>18</v>
      </c>
    </row>
    <row r="14" spans="1:13" ht="15">
      <c r="E14" s="6" t="s">
        <v>19</v>
      </c>
    </row>
    <row r="15" spans="1:13" ht="15">
      <c r="E15" s="6" t="s">
        <v>20</v>
      </c>
    </row>
    <row r="16" spans="1:13" ht="15">
      <c r="E16" s="6" t="s">
        <v>20</v>
      </c>
    </row>
    <row r="17" spans="1:5" ht="15">
      <c r="E17" s="6" t="s">
        <v>21</v>
      </c>
    </row>
    <row r="18" spans="1:5" ht="15">
      <c r="E18" s="6"/>
    </row>
    <row r="20" spans="1:5" ht="18">
      <c r="A20" s="7" t="s">
        <v>22</v>
      </c>
      <c r="B20" s="8"/>
    </row>
    <row r="21" spans="1:5" ht="15">
      <c r="A21" s="13" t="s">
        <v>58</v>
      </c>
      <c r="B21" s="14"/>
    </row>
    <row r="22" spans="1:5" ht="14.25">
      <c r="A22" s="16"/>
      <c r="B22" s="17" t="s">
        <v>103</v>
      </c>
    </row>
    <row r="23" spans="1:5" ht="15">
      <c r="A23" s="18" t="s">
        <v>50</v>
      </c>
      <c r="B23" s="18" t="s">
        <v>51</v>
      </c>
      <c r="C23" s="18" t="s">
        <v>52</v>
      </c>
      <c r="D23" s="18" t="s">
        <v>53</v>
      </c>
      <c r="E23" s="18" t="s">
        <v>54</v>
      </c>
    </row>
    <row r="24" spans="1:5">
      <c r="A24" s="15" t="s">
        <v>394</v>
      </c>
      <c r="B24" s="1" t="s">
        <v>103</v>
      </c>
      <c r="C24" s="1" t="s">
        <v>59</v>
      </c>
      <c r="D24" s="1" t="s">
        <v>44</v>
      </c>
      <c r="E24" s="4" t="s">
        <v>401</v>
      </c>
    </row>
    <row r="25" spans="1:5">
      <c r="A25" s="15" t="s">
        <v>96</v>
      </c>
      <c r="B25" s="1" t="s">
        <v>103</v>
      </c>
      <c r="C25" s="1" t="s">
        <v>59</v>
      </c>
      <c r="D25" s="1" t="s">
        <v>400</v>
      </c>
      <c r="E25" s="4" t="s">
        <v>402</v>
      </c>
    </row>
    <row r="27" spans="1:5" ht="14.25">
      <c r="A27" s="16"/>
      <c r="B27" s="17" t="s">
        <v>508</v>
      </c>
    </row>
    <row r="28" spans="1:5" ht="15">
      <c r="A28" s="18" t="s">
        <v>50</v>
      </c>
      <c r="B28" s="18" t="s">
        <v>51</v>
      </c>
      <c r="C28" s="18" t="s">
        <v>52</v>
      </c>
      <c r="D28" s="18" t="s">
        <v>53</v>
      </c>
      <c r="E28" s="18" t="s">
        <v>54</v>
      </c>
    </row>
    <row r="29" spans="1:5">
      <c r="A29" s="15" t="s">
        <v>80</v>
      </c>
      <c r="B29" s="1" t="s">
        <v>501</v>
      </c>
      <c r="C29" s="1" t="s">
        <v>108</v>
      </c>
      <c r="D29" s="1" t="s">
        <v>90</v>
      </c>
      <c r="E29" s="4" t="s">
        <v>403</v>
      </c>
    </row>
  </sheetData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opLeftCell="A16" workbookViewId="0">
      <selection activeCell="B35" sqref="B35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5.570312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8.85546875" style="5" bestFit="1" customWidth="1"/>
    <col min="14" max="16384" width="9.140625" style="1"/>
  </cols>
  <sheetData>
    <row r="1" spans="1:13" ht="29.1" customHeight="1">
      <c r="A1" s="41" t="s">
        <v>370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3"/>
      <c r="J3" s="53"/>
      <c r="K3" s="55" t="s">
        <v>13</v>
      </c>
      <c r="L3" s="51" t="s">
        <v>2</v>
      </c>
      <c r="M3" s="37" t="s">
        <v>1</v>
      </c>
    </row>
    <row r="4" spans="1:13" s="2" customFormat="1" ht="21" customHeight="1" thickBot="1">
      <c r="A4" s="48"/>
      <c r="B4" s="50"/>
      <c r="C4" s="50"/>
      <c r="D4" s="50"/>
      <c r="E4" s="50"/>
      <c r="F4" s="50"/>
      <c r="G4" s="3" t="s">
        <v>5</v>
      </c>
      <c r="H4" s="3" t="s">
        <v>6</v>
      </c>
      <c r="I4" s="3" t="s">
        <v>7</v>
      </c>
      <c r="J4" s="3" t="s">
        <v>8</v>
      </c>
      <c r="K4" s="56"/>
      <c r="L4" s="50"/>
      <c r="M4" s="38"/>
    </row>
    <row r="5" spans="1:13" ht="15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>
      <c r="A6" s="9" t="s">
        <v>372</v>
      </c>
      <c r="B6" s="10" t="s">
        <v>373</v>
      </c>
      <c r="C6" s="10" t="s">
        <v>272</v>
      </c>
      <c r="D6" s="10" t="str">
        <f>"0,6508"</f>
        <v>0,6508</v>
      </c>
      <c r="E6" s="11" t="s">
        <v>29</v>
      </c>
      <c r="F6" s="11" t="s">
        <v>30</v>
      </c>
      <c r="G6" s="10" t="s">
        <v>142</v>
      </c>
      <c r="H6" s="10" t="s">
        <v>74</v>
      </c>
      <c r="I6" s="10" t="s">
        <v>278</v>
      </c>
      <c r="J6" s="12"/>
      <c r="K6" s="9" t="str">
        <f>"157,5"</f>
        <v>157,5</v>
      </c>
      <c r="L6" s="10" t="str">
        <f>"102,5010"</f>
        <v>102,5010</v>
      </c>
      <c r="M6" s="11" t="s">
        <v>38</v>
      </c>
    </row>
    <row r="8" spans="1:13" ht="15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>
      <c r="A9" s="9" t="s">
        <v>375</v>
      </c>
      <c r="B9" s="10" t="s">
        <v>376</v>
      </c>
      <c r="C9" s="10" t="s">
        <v>377</v>
      </c>
      <c r="D9" s="10" t="str">
        <f>"0,5843"</f>
        <v>0,5843</v>
      </c>
      <c r="E9" s="11" t="s">
        <v>116</v>
      </c>
      <c r="F9" s="11" t="s">
        <v>30</v>
      </c>
      <c r="G9" s="10" t="s">
        <v>44</v>
      </c>
      <c r="H9" s="12" t="s">
        <v>378</v>
      </c>
      <c r="I9" s="12" t="s">
        <v>378</v>
      </c>
      <c r="J9" s="12"/>
      <c r="K9" s="9" t="str">
        <f>"240,0"</f>
        <v>240,0</v>
      </c>
      <c r="L9" s="10" t="str">
        <f>"140,2320"</f>
        <v>140,2320</v>
      </c>
      <c r="M9" s="11" t="s">
        <v>38</v>
      </c>
    </row>
    <row r="11" spans="1:13" ht="15">
      <c r="A11" s="40" t="s">
        <v>323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9" t="s">
        <v>380</v>
      </c>
      <c r="B12" s="10" t="s">
        <v>490</v>
      </c>
      <c r="C12" s="10" t="s">
        <v>381</v>
      </c>
      <c r="D12" s="10" t="str">
        <f>"0,5520"</f>
        <v>0,5520</v>
      </c>
      <c r="E12" s="11" t="s">
        <v>29</v>
      </c>
      <c r="F12" s="11" t="s">
        <v>233</v>
      </c>
      <c r="G12" s="12" t="s">
        <v>382</v>
      </c>
      <c r="H12" s="10" t="s">
        <v>382</v>
      </c>
      <c r="I12" s="12" t="s">
        <v>383</v>
      </c>
      <c r="J12" s="12"/>
      <c r="K12" s="9" t="str">
        <f>"300,0"</f>
        <v>300,0</v>
      </c>
      <c r="L12" s="10" t="str">
        <f>"189,9432"</f>
        <v>189,9432</v>
      </c>
      <c r="M12" s="11" t="s">
        <v>38</v>
      </c>
    </row>
    <row r="14" spans="1:13" ht="15">
      <c r="A14" s="40" t="s">
        <v>384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3">
      <c r="A15" s="19" t="s">
        <v>385</v>
      </c>
      <c r="B15" s="20" t="s">
        <v>386</v>
      </c>
      <c r="C15" s="20" t="s">
        <v>387</v>
      </c>
      <c r="D15" s="20" t="str">
        <f>"0,5381"</f>
        <v>0,5381</v>
      </c>
      <c r="E15" s="21" t="s">
        <v>29</v>
      </c>
      <c r="F15" s="21" t="s">
        <v>30</v>
      </c>
      <c r="G15" s="22" t="s">
        <v>388</v>
      </c>
      <c r="H15" s="22" t="s">
        <v>388</v>
      </c>
      <c r="I15" s="22" t="s">
        <v>388</v>
      </c>
      <c r="J15" s="22"/>
      <c r="K15" s="19" t="str">
        <f>"0.00"</f>
        <v>0.00</v>
      </c>
      <c r="L15" s="20" t="str">
        <f>"0,0000"</f>
        <v>0,0000</v>
      </c>
      <c r="M15" s="21" t="s">
        <v>38</v>
      </c>
    </row>
    <row r="16" spans="1:13">
      <c r="A16" s="23" t="s">
        <v>385</v>
      </c>
      <c r="B16" s="24" t="s">
        <v>389</v>
      </c>
      <c r="C16" s="24" t="s">
        <v>387</v>
      </c>
      <c r="D16" s="24" t="str">
        <f>"0,5381"</f>
        <v>0,5381</v>
      </c>
      <c r="E16" s="25" t="s">
        <v>29</v>
      </c>
      <c r="F16" s="25" t="s">
        <v>30</v>
      </c>
      <c r="G16" s="26" t="s">
        <v>388</v>
      </c>
      <c r="H16" s="26" t="s">
        <v>388</v>
      </c>
      <c r="I16" s="26" t="s">
        <v>388</v>
      </c>
      <c r="J16" s="26"/>
      <c r="K16" s="23" t="str">
        <f>"0.00"</f>
        <v>0.00</v>
      </c>
      <c r="L16" s="24" t="str">
        <f>"0,0000"</f>
        <v>0,0000</v>
      </c>
      <c r="M16" s="25" t="s">
        <v>38</v>
      </c>
    </row>
    <row r="18" spans="1:5" ht="15">
      <c r="E18" s="6" t="s">
        <v>17</v>
      </c>
    </row>
    <row r="19" spans="1:5" ht="15">
      <c r="E19" s="6" t="s">
        <v>18</v>
      </c>
    </row>
    <row r="20" spans="1:5" ht="15">
      <c r="E20" s="6" t="s">
        <v>19</v>
      </c>
    </row>
    <row r="21" spans="1:5" ht="15">
      <c r="E21" s="6" t="s">
        <v>20</v>
      </c>
    </row>
    <row r="22" spans="1:5" ht="15">
      <c r="E22" s="6" t="s">
        <v>20</v>
      </c>
    </row>
    <row r="23" spans="1:5" ht="15">
      <c r="E23" s="6" t="s">
        <v>21</v>
      </c>
    </row>
    <row r="24" spans="1:5" ht="15">
      <c r="E24" s="6"/>
    </row>
    <row r="26" spans="1:5" ht="18">
      <c r="A26" s="7" t="s">
        <v>22</v>
      </c>
      <c r="B26" s="8"/>
    </row>
    <row r="27" spans="1:5" ht="15">
      <c r="A27" s="13" t="s">
        <v>58</v>
      </c>
      <c r="B27" s="14"/>
    </row>
    <row r="28" spans="1:5" ht="14.25">
      <c r="A28" s="16"/>
      <c r="B28" s="17" t="s">
        <v>103</v>
      </c>
    </row>
    <row r="29" spans="1:5" ht="15">
      <c r="A29" s="18" t="s">
        <v>50</v>
      </c>
      <c r="B29" s="18" t="s">
        <v>51</v>
      </c>
      <c r="C29" s="18" t="s">
        <v>52</v>
      </c>
      <c r="D29" s="18" t="s">
        <v>53</v>
      </c>
      <c r="E29" s="18" t="s">
        <v>54</v>
      </c>
    </row>
    <row r="30" spans="1:5">
      <c r="A30" s="15" t="s">
        <v>374</v>
      </c>
      <c r="B30" s="1" t="s">
        <v>103</v>
      </c>
      <c r="C30" s="1" t="s">
        <v>59</v>
      </c>
      <c r="D30" s="1" t="s">
        <v>44</v>
      </c>
      <c r="E30" s="4" t="s">
        <v>390</v>
      </c>
    </row>
    <row r="31" spans="1:5">
      <c r="A31" s="15" t="s">
        <v>371</v>
      </c>
      <c r="B31" s="1" t="s">
        <v>103</v>
      </c>
      <c r="C31" s="1" t="s">
        <v>55</v>
      </c>
      <c r="D31" s="1" t="s">
        <v>278</v>
      </c>
      <c r="E31" s="4" t="s">
        <v>391</v>
      </c>
    </row>
    <row r="33" spans="1:5" ht="14.25">
      <c r="A33" s="16"/>
      <c r="B33" s="17" t="s">
        <v>508</v>
      </c>
    </row>
    <row r="34" spans="1:5" ht="15">
      <c r="A34" s="18" t="s">
        <v>50</v>
      </c>
      <c r="B34" s="18" t="s">
        <v>51</v>
      </c>
      <c r="C34" s="18" t="s">
        <v>52</v>
      </c>
      <c r="D34" s="18" t="s">
        <v>53</v>
      </c>
      <c r="E34" s="18" t="s">
        <v>54</v>
      </c>
    </row>
    <row r="35" spans="1:5">
      <c r="A35" s="15" t="s">
        <v>379</v>
      </c>
      <c r="B35" s="1" t="s">
        <v>507</v>
      </c>
      <c r="C35" s="1" t="s">
        <v>349</v>
      </c>
      <c r="D35" s="1" t="s">
        <v>382</v>
      </c>
      <c r="E35" s="4" t="s">
        <v>392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topLeftCell="A91" workbookViewId="0">
      <selection activeCell="C110" sqref="C110"/>
    </sheetView>
  </sheetViews>
  <sheetFormatPr defaultRowHeight="12.75"/>
  <cols>
    <col min="1" max="1" width="28.28515625" style="4" bestFit="1" customWidth="1"/>
    <col min="2" max="2" width="29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2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31.42578125" style="5" bestFit="1" customWidth="1"/>
    <col min="14" max="16384" width="9.140625" style="1"/>
  </cols>
  <sheetData>
    <row r="1" spans="1:13" ht="29.1" customHeight="1">
      <c r="A1" s="41" t="s">
        <v>181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3"/>
      <c r="J3" s="53"/>
      <c r="K3" s="55" t="s">
        <v>13</v>
      </c>
      <c r="L3" s="51" t="s">
        <v>2</v>
      </c>
      <c r="M3" s="37" t="s">
        <v>1</v>
      </c>
    </row>
    <row r="4" spans="1:13" s="2" customFormat="1" ht="21" customHeight="1" thickBot="1">
      <c r="A4" s="48"/>
      <c r="B4" s="50"/>
      <c r="C4" s="50"/>
      <c r="D4" s="50"/>
      <c r="E4" s="50"/>
      <c r="F4" s="50"/>
      <c r="G4" s="3" t="s">
        <v>5</v>
      </c>
      <c r="H4" s="3" t="s">
        <v>6</v>
      </c>
      <c r="I4" s="3" t="s">
        <v>7</v>
      </c>
      <c r="J4" s="3" t="s">
        <v>8</v>
      </c>
      <c r="K4" s="56"/>
      <c r="L4" s="50"/>
      <c r="M4" s="38"/>
    </row>
    <row r="5" spans="1:13" ht="15">
      <c r="A5" s="39" t="s">
        <v>130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>
      <c r="A6" s="19" t="s">
        <v>183</v>
      </c>
      <c r="B6" s="20" t="s">
        <v>184</v>
      </c>
      <c r="C6" s="20" t="s">
        <v>185</v>
      </c>
      <c r="D6" s="20" t="str">
        <f>"1,0591"</f>
        <v>1,0591</v>
      </c>
      <c r="E6" s="21" t="s">
        <v>186</v>
      </c>
      <c r="F6" s="21" t="s">
        <v>187</v>
      </c>
      <c r="G6" s="20" t="s">
        <v>134</v>
      </c>
      <c r="H6" s="20" t="s">
        <v>188</v>
      </c>
      <c r="I6" s="22" t="s">
        <v>34</v>
      </c>
      <c r="J6" s="22"/>
      <c r="K6" s="19" t="str">
        <f>"67,5"</f>
        <v>67,5</v>
      </c>
      <c r="L6" s="20" t="str">
        <f>"71,4893"</f>
        <v>71,4893</v>
      </c>
      <c r="M6" s="21" t="s">
        <v>38</v>
      </c>
    </row>
    <row r="7" spans="1:13">
      <c r="A7" s="27" t="s">
        <v>190</v>
      </c>
      <c r="B7" s="28" t="s">
        <v>191</v>
      </c>
      <c r="C7" s="28" t="s">
        <v>192</v>
      </c>
      <c r="D7" s="28" t="str">
        <f>"1,0764"</f>
        <v>1,0764</v>
      </c>
      <c r="E7" s="29" t="s">
        <v>29</v>
      </c>
      <c r="F7" s="29" t="s">
        <v>30</v>
      </c>
      <c r="G7" s="28" t="s">
        <v>193</v>
      </c>
      <c r="H7" s="30" t="s">
        <v>188</v>
      </c>
      <c r="I7" s="30" t="s">
        <v>188</v>
      </c>
      <c r="J7" s="30"/>
      <c r="K7" s="27" t="str">
        <f>"62,5"</f>
        <v>62,5</v>
      </c>
      <c r="L7" s="28" t="str">
        <f>"67,2750"</f>
        <v>67,2750</v>
      </c>
      <c r="M7" s="29" t="s">
        <v>38</v>
      </c>
    </row>
    <row r="8" spans="1:13">
      <c r="A8" s="23" t="s">
        <v>195</v>
      </c>
      <c r="B8" s="24" t="s">
        <v>196</v>
      </c>
      <c r="C8" s="24" t="s">
        <v>197</v>
      </c>
      <c r="D8" s="24" t="str">
        <f>"1,0812"</f>
        <v>1,0812</v>
      </c>
      <c r="E8" s="25" t="s">
        <v>29</v>
      </c>
      <c r="F8" s="25" t="s">
        <v>30</v>
      </c>
      <c r="G8" s="24" t="s">
        <v>198</v>
      </c>
      <c r="H8" s="26" t="s">
        <v>199</v>
      </c>
      <c r="I8" s="26" t="s">
        <v>199</v>
      </c>
      <c r="J8" s="26"/>
      <c r="K8" s="23" t="str">
        <f>"32,5"</f>
        <v>32,5</v>
      </c>
      <c r="L8" s="24" t="str">
        <f>"35,1390"</f>
        <v>35,1390</v>
      </c>
      <c r="M8" s="25" t="s">
        <v>38</v>
      </c>
    </row>
    <row r="10" spans="1:13" ht="15">
      <c r="A10" s="40" t="s">
        <v>200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3">
      <c r="A11" s="9" t="s">
        <v>202</v>
      </c>
      <c r="B11" s="10" t="s">
        <v>203</v>
      </c>
      <c r="C11" s="10" t="s">
        <v>204</v>
      </c>
      <c r="D11" s="10" t="str">
        <f>"1,0065"</f>
        <v>1,0065</v>
      </c>
      <c r="E11" s="11" t="s">
        <v>29</v>
      </c>
      <c r="F11" s="11" t="s">
        <v>30</v>
      </c>
      <c r="G11" s="10" t="s">
        <v>205</v>
      </c>
      <c r="H11" s="10" t="s">
        <v>206</v>
      </c>
      <c r="I11" s="12" t="s">
        <v>193</v>
      </c>
      <c r="J11" s="12"/>
      <c r="K11" s="9" t="str">
        <f>"57,5"</f>
        <v>57,5</v>
      </c>
      <c r="L11" s="10" t="str">
        <f>"57,8738"</f>
        <v>57,8738</v>
      </c>
      <c r="M11" s="11" t="s">
        <v>207</v>
      </c>
    </row>
    <row r="13" spans="1:13" ht="15">
      <c r="A13" s="40" t="s">
        <v>111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>
      <c r="A14" s="9" t="s">
        <v>209</v>
      </c>
      <c r="B14" s="10" t="s">
        <v>210</v>
      </c>
      <c r="C14" s="10" t="s">
        <v>211</v>
      </c>
      <c r="D14" s="10" t="str">
        <f>"0,9289"</f>
        <v>0,9289</v>
      </c>
      <c r="E14" s="11" t="s">
        <v>29</v>
      </c>
      <c r="F14" s="11" t="s">
        <v>30</v>
      </c>
      <c r="G14" s="12" t="s">
        <v>134</v>
      </c>
      <c r="H14" s="12" t="s">
        <v>134</v>
      </c>
      <c r="I14" s="10" t="s">
        <v>134</v>
      </c>
      <c r="J14" s="12"/>
      <c r="K14" s="9" t="str">
        <f>"65,0"</f>
        <v>65,0</v>
      </c>
      <c r="L14" s="10" t="str">
        <f>"60,3785"</f>
        <v>60,3785</v>
      </c>
      <c r="M14" s="11" t="s">
        <v>38</v>
      </c>
    </row>
    <row r="16" spans="1:13" ht="15">
      <c r="A16" s="40" t="s">
        <v>111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3">
      <c r="A17" s="19" t="s">
        <v>213</v>
      </c>
      <c r="B17" s="20" t="s">
        <v>214</v>
      </c>
      <c r="C17" s="20" t="s">
        <v>215</v>
      </c>
      <c r="D17" s="20" t="str">
        <f>"0,7897"</f>
        <v>0,7897</v>
      </c>
      <c r="E17" s="21" t="s">
        <v>29</v>
      </c>
      <c r="F17" s="21" t="s">
        <v>216</v>
      </c>
      <c r="G17" s="20" t="s">
        <v>217</v>
      </c>
      <c r="H17" s="20" t="s">
        <v>218</v>
      </c>
      <c r="I17" s="20" t="s">
        <v>144</v>
      </c>
      <c r="J17" s="22"/>
      <c r="K17" s="19" t="str">
        <f>"90,0"</f>
        <v>90,0</v>
      </c>
      <c r="L17" s="20" t="str">
        <f>"71,0685"</f>
        <v>71,0685</v>
      </c>
      <c r="M17" s="21" t="s">
        <v>38</v>
      </c>
    </row>
    <row r="18" spans="1:13">
      <c r="A18" s="27" t="s">
        <v>220</v>
      </c>
      <c r="B18" s="28" t="s">
        <v>221</v>
      </c>
      <c r="C18" s="28" t="s">
        <v>222</v>
      </c>
      <c r="D18" s="28" t="str">
        <f>"0,7522"</f>
        <v>0,7522</v>
      </c>
      <c r="E18" s="29" t="s">
        <v>29</v>
      </c>
      <c r="F18" s="29" t="s">
        <v>30</v>
      </c>
      <c r="G18" s="28" t="s">
        <v>31</v>
      </c>
      <c r="H18" s="28" t="s">
        <v>36</v>
      </c>
      <c r="I18" s="30" t="s">
        <v>32</v>
      </c>
      <c r="J18" s="30"/>
      <c r="K18" s="27" t="str">
        <f>"130,0"</f>
        <v>130,0</v>
      </c>
      <c r="L18" s="28" t="str">
        <f>"97,7860"</f>
        <v>97,7860</v>
      </c>
      <c r="M18" s="29" t="s">
        <v>38</v>
      </c>
    </row>
    <row r="19" spans="1:13">
      <c r="A19" s="23" t="s">
        <v>224</v>
      </c>
      <c r="B19" s="24" t="s">
        <v>225</v>
      </c>
      <c r="C19" s="24" t="s">
        <v>226</v>
      </c>
      <c r="D19" s="24" t="str">
        <f>"0,7503"</f>
        <v>0,7503</v>
      </c>
      <c r="E19" s="25" t="s">
        <v>29</v>
      </c>
      <c r="F19" s="25" t="s">
        <v>227</v>
      </c>
      <c r="G19" s="24" t="s">
        <v>84</v>
      </c>
      <c r="H19" s="24" t="s">
        <v>228</v>
      </c>
      <c r="I19" s="26" t="s">
        <v>36</v>
      </c>
      <c r="J19" s="26"/>
      <c r="K19" s="23" t="str">
        <f>"127,5"</f>
        <v>127,5</v>
      </c>
      <c r="L19" s="24" t="str">
        <f>"95,6696"</f>
        <v>95,6696</v>
      </c>
      <c r="M19" s="25" t="s">
        <v>38</v>
      </c>
    </row>
    <row r="21" spans="1:13" ht="15">
      <c r="A21" s="40" t="s">
        <v>63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3">
      <c r="A22" s="19" t="s">
        <v>230</v>
      </c>
      <c r="B22" s="20" t="s">
        <v>231</v>
      </c>
      <c r="C22" s="20" t="s">
        <v>232</v>
      </c>
      <c r="D22" s="20" t="str">
        <f>"0,7322"</f>
        <v>0,7322</v>
      </c>
      <c r="E22" s="21" t="s">
        <v>29</v>
      </c>
      <c r="F22" s="21" t="s">
        <v>233</v>
      </c>
      <c r="G22" s="22" t="s">
        <v>217</v>
      </c>
      <c r="H22" s="20" t="s">
        <v>218</v>
      </c>
      <c r="I22" s="22" t="s">
        <v>166</v>
      </c>
      <c r="J22" s="22"/>
      <c r="K22" s="19" t="str">
        <f>"85,0"</f>
        <v>85,0</v>
      </c>
      <c r="L22" s="20" t="str">
        <f>"62,2370"</f>
        <v>62,2370</v>
      </c>
      <c r="M22" s="21" t="s">
        <v>38</v>
      </c>
    </row>
    <row r="23" spans="1:13">
      <c r="A23" s="27" t="s">
        <v>235</v>
      </c>
      <c r="B23" s="28" t="s">
        <v>236</v>
      </c>
      <c r="C23" s="28" t="s">
        <v>237</v>
      </c>
      <c r="D23" s="28" t="str">
        <f>"0,6998"</f>
        <v>0,6998</v>
      </c>
      <c r="E23" s="29" t="s">
        <v>29</v>
      </c>
      <c r="F23" s="29" t="s">
        <v>30</v>
      </c>
      <c r="G23" s="28" t="s">
        <v>31</v>
      </c>
      <c r="H23" s="28" t="s">
        <v>151</v>
      </c>
      <c r="I23" s="28" t="s">
        <v>72</v>
      </c>
      <c r="J23" s="30"/>
      <c r="K23" s="27" t="str">
        <f>"137,5"</f>
        <v>137,5</v>
      </c>
      <c r="L23" s="28" t="str">
        <f>"96,2156"</f>
        <v>96,2156</v>
      </c>
      <c r="M23" s="29" t="s">
        <v>38</v>
      </c>
    </row>
    <row r="24" spans="1:13">
      <c r="A24" s="27" t="s">
        <v>239</v>
      </c>
      <c r="B24" s="28" t="s">
        <v>240</v>
      </c>
      <c r="C24" s="28" t="s">
        <v>241</v>
      </c>
      <c r="D24" s="28" t="str">
        <f>"0,6913"</f>
        <v>0,6913</v>
      </c>
      <c r="E24" s="29" t="s">
        <v>29</v>
      </c>
      <c r="F24" s="29" t="s">
        <v>30</v>
      </c>
      <c r="G24" s="28" t="s">
        <v>151</v>
      </c>
      <c r="H24" s="30" t="s">
        <v>72</v>
      </c>
      <c r="I24" s="28" t="s">
        <v>72</v>
      </c>
      <c r="J24" s="30"/>
      <c r="K24" s="27" t="str">
        <f>"137,5"</f>
        <v>137,5</v>
      </c>
      <c r="L24" s="28" t="str">
        <f>"95,0469"</f>
        <v>95,0469</v>
      </c>
      <c r="M24" s="29" t="s">
        <v>38</v>
      </c>
    </row>
    <row r="25" spans="1:13">
      <c r="A25" s="27" t="s">
        <v>243</v>
      </c>
      <c r="B25" s="28" t="s">
        <v>244</v>
      </c>
      <c r="C25" s="28" t="s">
        <v>237</v>
      </c>
      <c r="D25" s="28" t="str">
        <f>"0,6998"</f>
        <v>0,6998</v>
      </c>
      <c r="E25" s="29" t="s">
        <v>29</v>
      </c>
      <c r="F25" s="29" t="s">
        <v>30</v>
      </c>
      <c r="G25" s="28" t="s">
        <v>84</v>
      </c>
      <c r="H25" s="28" t="s">
        <v>36</v>
      </c>
      <c r="I25" s="30" t="s">
        <v>72</v>
      </c>
      <c r="J25" s="30"/>
      <c r="K25" s="27" t="str">
        <f>"130,0"</f>
        <v>130,0</v>
      </c>
      <c r="L25" s="28" t="str">
        <f>"90,9675"</f>
        <v>90,9675</v>
      </c>
      <c r="M25" s="29" t="s">
        <v>38</v>
      </c>
    </row>
    <row r="26" spans="1:13">
      <c r="A26" s="27" t="s">
        <v>246</v>
      </c>
      <c r="B26" s="28" t="s">
        <v>247</v>
      </c>
      <c r="C26" s="28" t="s">
        <v>248</v>
      </c>
      <c r="D26" s="28" t="str">
        <f>"0,7042"</f>
        <v>0,7042</v>
      </c>
      <c r="E26" s="29" t="s">
        <v>29</v>
      </c>
      <c r="F26" s="29" t="s">
        <v>249</v>
      </c>
      <c r="G26" s="28" t="s">
        <v>173</v>
      </c>
      <c r="H26" s="28" t="s">
        <v>250</v>
      </c>
      <c r="I26" s="30" t="s">
        <v>31</v>
      </c>
      <c r="J26" s="30"/>
      <c r="K26" s="27" t="str">
        <f>"117,5"</f>
        <v>117,5</v>
      </c>
      <c r="L26" s="28" t="str">
        <f>"82,7376"</f>
        <v>82,7376</v>
      </c>
      <c r="M26" s="29" t="s">
        <v>38</v>
      </c>
    </row>
    <row r="27" spans="1:13">
      <c r="A27" s="23" t="s">
        <v>252</v>
      </c>
      <c r="B27" s="24" t="s">
        <v>253</v>
      </c>
      <c r="C27" s="24" t="s">
        <v>254</v>
      </c>
      <c r="D27" s="24" t="str">
        <f>"0,7079"</f>
        <v>0,7079</v>
      </c>
      <c r="E27" s="25" t="s">
        <v>29</v>
      </c>
      <c r="F27" s="25" t="s">
        <v>30</v>
      </c>
      <c r="G27" s="24" t="s">
        <v>144</v>
      </c>
      <c r="H27" s="24" t="s">
        <v>166</v>
      </c>
      <c r="I27" s="26" t="s">
        <v>173</v>
      </c>
      <c r="J27" s="26"/>
      <c r="K27" s="23" t="str">
        <f>"95,0"</f>
        <v>95,0</v>
      </c>
      <c r="L27" s="24" t="str">
        <f>"67,2505"</f>
        <v>67,2505</v>
      </c>
      <c r="M27" s="25" t="s">
        <v>38</v>
      </c>
    </row>
    <row r="29" spans="1:13" ht="15">
      <c r="A29" s="40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3">
      <c r="A30" s="19" t="s">
        <v>256</v>
      </c>
      <c r="B30" s="20" t="s">
        <v>257</v>
      </c>
      <c r="C30" s="20" t="s">
        <v>258</v>
      </c>
      <c r="D30" s="20" t="str">
        <f>"0,6743"</f>
        <v>0,6743</v>
      </c>
      <c r="E30" s="21" t="s">
        <v>29</v>
      </c>
      <c r="F30" s="21" t="s">
        <v>30</v>
      </c>
      <c r="G30" s="20" t="s">
        <v>33</v>
      </c>
      <c r="H30" s="20" t="s">
        <v>134</v>
      </c>
      <c r="I30" s="20" t="s">
        <v>35</v>
      </c>
      <c r="J30" s="22"/>
      <c r="K30" s="19" t="str">
        <f>"72,5"</f>
        <v>72,5</v>
      </c>
      <c r="L30" s="20" t="str">
        <f>"48,8831"</f>
        <v>48,8831</v>
      </c>
      <c r="M30" s="21" t="s">
        <v>38</v>
      </c>
    </row>
    <row r="31" spans="1:13">
      <c r="A31" s="27" t="s">
        <v>260</v>
      </c>
      <c r="B31" s="28" t="s">
        <v>261</v>
      </c>
      <c r="C31" s="28" t="s">
        <v>262</v>
      </c>
      <c r="D31" s="28" t="str">
        <f>"0,6471"</f>
        <v>0,6471</v>
      </c>
      <c r="E31" s="29" t="s">
        <v>29</v>
      </c>
      <c r="F31" s="29" t="s">
        <v>30</v>
      </c>
      <c r="G31" s="28" t="s">
        <v>142</v>
      </c>
      <c r="H31" s="28" t="s">
        <v>37</v>
      </c>
      <c r="I31" s="30" t="s">
        <v>145</v>
      </c>
      <c r="J31" s="30"/>
      <c r="K31" s="27" t="str">
        <f>"150,0"</f>
        <v>150,0</v>
      </c>
      <c r="L31" s="28" t="str">
        <f>"97,0725"</f>
        <v>97,0725</v>
      </c>
      <c r="M31" s="29" t="s">
        <v>38</v>
      </c>
    </row>
    <row r="32" spans="1:13">
      <c r="A32" s="27" t="s">
        <v>264</v>
      </c>
      <c r="B32" s="28" t="s">
        <v>265</v>
      </c>
      <c r="C32" s="28" t="s">
        <v>266</v>
      </c>
      <c r="D32" s="28" t="str">
        <f>"0,6518"</f>
        <v>0,6518</v>
      </c>
      <c r="E32" s="29" t="s">
        <v>29</v>
      </c>
      <c r="F32" s="29" t="s">
        <v>30</v>
      </c>
      <c r="G32" s="30" t="s">
        <v>228</v>
      </c>
      <c r="H32" s="28" t="s">
        <v>228</v>
      </c>
      <c r="I32" s="30"/>
      <c r="J32" s="30"/>
      <c r="K32" s="27" t="str">
        <f>"127,5"</f>
        <v>127,5</v>
      </c>
      <c r="L32" s="28" t="str">
        <f>"83,1109"</f>
        <v>83,1109</v>
      </c>
      <c r="M32" s="29" t="s">
        <v>38</v>
      </c>
    </row>
    <row r="33" spans="1:13">
      <c r="A33" s="27" t="s">
        <v>267</v>
      </c>
      <c r="B33" s="28" t="s">
        <v>268</v>
      </c>
      <c r="C33" s="28" t="s">
        <v>269</v>
      </c>
      <c r="D33" s="28" t="str">
        <f>"0,6646"</f>
        <v>0,6646</v>
      </c>
      <c r="E33" s="29" t="s">
        <v>29</v>
      </c>
      <c r="F33" s="29" t="s">
        <v>30</v>
      </c>
      <c r="G33" s="30" t="s">
        <v>228</v>
      </c>
      <c r="H33" s="30" t="s">
        <v>228</v>
      </c>
      <c r="I33" s="30" t="s">
        <v>228</v>
      </c>
      <c r="J33" s="30"/>
      <c r="K33" s="27" t="str">
        <f>"0.00"</f>
        <v>0.00</v>
      </c>
      <c r="L33" s="28" t="str">
        <f>"0,0000"</f>
        <v>0,0000</v>
      </c>
      <c r="M33" s="29" t="s">
        <v>38</v>
      </c>
    </row>
    <row r="34" spans="1:13">
      <c r="A34" s="23" t="s">
        <v>271</v>
      </c>
      <c r="B34" s="24" t="s">
        <v>496</v>
      </c>
      <c r="C34" s="24" t="s">
        <v>272</v>
      </c>
      <c r="D34" s="24" t="str">
        <f>"0,6508"</f>
        <v>0,6508</v>
      </c>
      <c r="E34" s="25" t="s">
        <v>29</v>
      </c>
      <c r="F34" s="25" t="s">
        <v>30</v>
      </c>
      <c r="G34" s="24" t="s">
        <v>72</v>
      </c>
      <c r="H34" s="26" t="s">
        <v>142</v>
      </c>
      <c r="I34" s="26" t="s">
        <v>142</v>
      </c>
      <c r="J34" s="26"/>
      <c r="K34" s="23" t="str">
        <f>"137,5"</f>
        <v>137,5</v>
      </c>
      <c r="L34" s="24" t="str">
        <f>"119,9099"</f>
        <v>119,9099</v>
      </c>
      <c r="M34" s="25" t="s">
        <v>38</v>
      </c>
    </row>
    <row r="36" spans="1:13" ht="15">
      <c r="A36" s="40" t="s">
        <v>79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3">
      <c r="A37" s="19" t="s">
        <v>274</v>
      </c>
      <c r="B37" s="20" t="s">
        <v>275</v>
      </c>
      <c r="C37" s="20" t="s">
        <v>276</v>
      </c>
      <c r="D37" s="20" t="str">
        <f>"0,6161"</f>
        <v>0,6161</v>
      </c>
      <c r="E37" s="21" t="s">
        <v>29</v>
      </c>
      <c r="F37" s="21" t="s">
        <v>277</v>
      </c>
      <c r="G37" s="20" t="s">
        <v>145</v>
      </c>
      <c r="H37" s="20" t="s">
        <v>278</v>
      </c>
      <c r="I37" s="22"/>
      <c r="J37" s="22"/>
      <c r="K37" s="19" t="str">
        <f>"157,5"</f>
        <v>157,5</v>
      </c>
      <c r="L37" s="20" t="str">
        <f>"97,0279"</f>
        <v>97,0279</v>
      </c>
      <c r="M37" s="21" t="s">
        <v>38</v>
      </c>
    </row>
    <row r="38" spans="1:13">
      <c r="A38" s="27" t="s">
        <v>280</v>
      </c>
      <c r="B38" s="28" t="s">
        <v>281</v>
      </c>
      <c r="C38" s="28" t="s">
        <v>282</v>
      </c>
      <c r="D38" s="28" t="str">
        <f>"0,6349"</f>
        <v>0,6349</v>
      </c>
      <c r="E38" s="29" t="s">
        <v>29</v>
      </c>
      <c r="F38" s="29" t="s">
        <v>283</v>
      </c>
      <c r="G38" s="28" t="s">
        <v>142</v>
      </c>
      <c r="H38" s="30" t="s">
        <v>74</v>
      </c>
      <c r="I38" s="30"/>
      <c r="J38" s="30"/>
      <c r="K38" s="27" t="str">
        <f>"145,0"</f>
        <v>145,0</v>
      </c>
      <c r="L38" s="28" t="str">
        <f>"92,0677"</f>
        <v>92,0677</v>
      </c>
      <c r="M38" s="29" t="s">
        <v>38</v>
      </c>
    </row>
    <row r="39" spans="1:13">
      <c r="A39" s="27" t="s">
        <v>285</v>
      </c>
      <c r="B39" s="28" t="s">
        <v>286</v>
      </c>
      <c r="C39" s="28" t="s">
        <v>287</v>
      </c>
      <c r="D39" s="28" t="str">
        <f>"0,6213"</f>
        <v>0,6213</v>
      </c>
      <c r="E39" s="29" t="s">
        <v>29</v>
      </c>
      <c r="F39" s="29" t="s">
        <v>30</v>
      </c>
      <c r="G39" s="28" t="s">
        <v>84</v>
      </c>
      <c r="H39" s="28" t="s">
        <v>288</v>
      </c>
      <c r="I39" s="30"/>
      <c r="J39" s="30"/>
      <c r="K39" s="27" t="str">
        <f>"132,5"</f>
        <v>132,5</v>
      </c>
      <c r="L39" s="28" t="str">
        <f>"82,3289"</f>
        <v>82,3289</v>
      </c>
      <c r="M39" s="29" t="s">
        <v>38</v>
      </c>
    </row>
    <row r="40" spans="1:13">
      <c r="A40" s="23" t="s">
        <v>289</v>
      </c>
      <c r="B40" s="24" t="s">
        <v>290</v>
      </c>
      <c r="C40" s="24" t="s">
        <v>291</v>
      </c>
      <c r="D40" s="24" t="str">
        <f>"0,6251"</f>
        <v>0,6251</v>
      </c>
      <c r="E40" s="25" t="s">
        <v>29</v>
      </c>
      <c r="F40" s="25" t="s">
        <v>30</v>
      </c>
      <c r="G40" s="26" t="s">
        <v>31</v>
      </c>
      <c r="H40" s="26" t="s">
        <v>31</v>
      </c>
      <c r="I40" s="26" t="s">
        <v>31</v>
      </c>
      <c r="J40" s="26"/>
      <c r="K40" s="23" t="str">
        <f>"0.00"</f>
        <v>0.00</v>
      </c>
      <c r="L40" s="24" t="str">
        <f>"0,0000"</f>
        <v>0,0000</v>
      </c>
      <c r="M40" s="25" t="s">
        <v>38</v>
      </c>
    </row>
    <row r="42" spans="1:13" ht="15">
      <c r="A42" s="40" t="s">
        <v>39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3">
      <c r="A43" s="19" t="s">
        <v>293</v>
      </c>
      <c r="B43" s="20" t="s">
        <v>294</v>
      </c>
      <c r="C43" s="20" t="s">
        <v>295</v>
      </c>
      <c r="D43" s="20" t="str">
        <f>"0,5853"</f>
        <v>0,5853</v>
      </c>
      <c r="E43" s="21" t="s">
        <v>29</v>
      </c>
      <c r="F43" s="21" t="s">
        <v>30</v>
      </c>
      <c r="G43" s="22" t="s">
        <v>83</v>
      </c>
      <c r="H43" s="20" t="s">
        <v>83</v>
      </c>
      <c r="I43" s="20" t="s">
        <v>250</v>
      </c>
      <c r="J43" s="22"/>
      <c r="K43" s="19" t="str">
        <f>"117,5"</f>
        <v>117,5</v>
      </c>
      <c r="L43" s="20" t="str">
        <f>"68,7786"</f>
        <v>68,7786</v>
      </c>
      <c r="M43" s="21" t="s">
        <v>38</v>
      </c>
    </row>
    <row r="44" spans="1:13">
      <c r="A44" s="27" t="s">
        <v>297</v>
      </c>
      <c r="B44" s="28" t="s">
        <v>298</v>
      </c>
      <c r="C44" s="28" t="s">
        <v>299</v>
      </c>
      <c r="D44" s="28" t="str">
        <f>"0,5905"</f>
        <v>0,5905</v>
      </c>
      <c r="E44" s="29" t="s">
        <v>29</v>
      </c>
      <c r="F44" s="29" t="s">
        <v>30</v>
      </c>
      <c r="G44" s="30" t="s">
        <v>78</v>
      </c>
      <c r="H44" s="30" t="s">
        <v>78</v>
      </c>
      <c r="I44" s="28" t="s">
        <v>78</v>
      </c>
      <c r="J44" s="30"/>
      <c r="K44" s="27" t="str">
        <f>"170,0"</f>
        <v>170,0</v>
      </c>
      <c r="L44" s="28" t="str">
        <f>"100,3850"</f>
        <v>100,3850</v>
      </c>
      <c r="M44" s="29" t="s">
        <v>38</v>
      </c>
    </row>
    <row r="45" spans="1:13">
      <c r="A45" s="27" t="s">
        <v>301</v>
      </c>
      <c r="B45" s="28" t="s">
        <v>302</v>
      </c>
      <c r="C45" s="28" t="s">
        <v>303</v>
      </c>
      <c r="D45" s="28" t="str">
        <f>"0,5938"</f>
        <v>0,5938</v>
      </c>
      <c r="E45" s="29" t="s">
        <v>29</v>
      </c>
      <c r="F45" s="29" t="s">
        <v>304</v>
      </c>
      <c r="G45" s="28" t="s">
        <v>32</v>
      </c>
      <c r="H45" s="30" t="s">
        <v>305</v>
      </c>
      <c r="I45" s="30" t="s">
        <v>305</v>
      </c>
      <c r="J45" s="30"/>
      <c r="K45" s="27" t="str">
        <f>"140,0"</f>
        <v>140,0</v>
      </c>
      <c r="L45" s="28" t="str">
        <f>"83,1250"</f>
        <v>83,1250</v>
      </c>
      <c r="M45" s="29" t="s">
        <v>38</v>
      </c>
    </row>
    <row r="46" spans="1:13">
      <c r="A46" s="27" t="s">
        <v>307</v>
      </c>
      <c r="B46" s="28" t="s">
        <v>495</v>
      </c>
      <c r="C46" s="28" t="s">
        <v>308</v>
      </c>
      <c r="D46" s="28" t="str">
        <f>"0,5902"</f>
        <v>0,5902</v>
      </c>
      <c r="E46" s="29" t="s">
        <v>29</v>
      </c>
      <c r="F46" s="29" t="s">
        <v>30</v>
      </c>
      <c r="G46" s="30" t="s">
        <v>142</v>
      </c>
      <c r="H46" s="30" t="s">
        <v>142</v>
      </c>
      <c r="I46" s="28" t="s">
        <v>142</v>
      </c>
      <c r="J46" s="30"/>
      <c r="K46" s="27" t="str">
        <f>"145,0"</f>
        <v>145,0</v>
      </c>
      <c r="L46" s="28" t="str">
        <f>"86,4348"</f>
        <v>86,4348</v>
      </c>
      <c r="M46" s="29" t="s">
        <v>38</v>
      </c>
    </row>
    <row r="47" spans="1:13">
      <c r="A47" s="27" t="s">
        <v>310</v>
      </c>
      <c r="B47" s="28" t="s">
        <v>494</v>
      </c>
      <c r="C47" s="28" t="s">
        <v>311</v>
      </c>
      <c r="D47" s="28" t="str">
        <f>"0,5867"</f>
        <v>0,5867</v>
      </c>
      <c r="E47" s="29" t="s">
        <v>29</v>
      </c>
      <c r="F47" s="29" t="s">
        <v>30</v>
      </c>
      <c r="G47" s="28" t="s">
        <v>167</v>
      </c>
      <c r="H47" s="28" t="s">
        <v>83</v>
      </c>
      <c r="I47" s="28" t="s">
        <v>174</v>
      </c>
      <c r="J47" s="30"/>
      <c r="K47" s="27" t="str">
        <f>"115,0"</f>
        <v>115,0</v>
      </c>
      <c r="L47" s="28" t="str">
        <f>"72,0524"</f>
        <v>72,0524</v>
      </c>
      <c r="M47" s="29" t="s">
        <v>38</v>
      </c>
    </row>
    <row r="48" spans="1:13">
      <c r="A48" s="23" t="s">
        <v>313</v>
      </c>
      <c r="B48" s="24" t="s">
        <v>493</v>
      </c>
      <c r="C48" s="24" t="s">
        <v>314</v>
      </c>
      <c r="D48" s="24" t="str">
        <f>"0,6068"</f>
        <v>0,6068</v>
      </c>
      <c r="E48" s="25" t="s">
        <v>29</v>
      </c>
      <c r="F48" s="25" t="s">
        <v>30</v>
      </c>
      <c r="G48" s="24" t="s">
        <v>145</v>
      </c>
      <c r="H48" s="24" t="s">
        <v>100</v>
      </c>
      <c r="I48" s="26"/>
      <c r="J48" s="26"/>
      <c r="K48" s="23" t="str">
        <f>"160,0"</f>
        <v>160,0</v>
      </c>
      <c r="L48" s="24" t="str">
        <f>"113,1075"</f>
        <v>113,1075</v>
      </c>
      <c r="M48" s="25" t="s">
        <v>38</v>
      </c>
    </row>
    <row r="50" spans="1:13" ht="15">
      <c r="A50" s="40" t="s">
        <v>117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3">
      <c r="A51" s="19" t="s">
        <v>315</v>
      </c>
      <c r="B51" s="20" t="s">
        <v>316</v>
      </c>
      <c r="C51" s="20" t="s">
        <v>317</v>
      </c>
      <c r="D51" s="20" t="str">
        <f>"0,5673"</f>
        <v>0,5673</v>
      </c>
      <c r="E51" s="21" t="s">
        <v>29</v>
      </c>
      <c r="F51" s="21" t="s">
        <v>318</v>
      </c>
      <c r="G51" s="22" t="s">
        <v>100</v>
      </c>
      <c r="H51" s="22" t="s">
        <v>100</v>
      </c>
      <c r="I51" s="22" t="s">
        <v>319</v>
      </c>
      <c r="J51" s="22"/>
      <c r="K51" s="19" t="str">
        <f>"0.00"</f>
        <v>0.00</v>
      </c>
      <c r="L51" s="20" t="str">
        <f>"0,0000"</f>
        <v>0,0000</v>
      </c>
      <c r="M51" s="21" t="s">
        <v>38</v>
      </c>
    </row>
    <row r="52" spans="1:13">
      <c r="A52" s="23" t="s">
        <v>320</v>
      </c>
      <c r="B52" s="24" t="s">
        <v>492</v>
      </c>
      <c r="C52" s="24" t="s">
        <v>321</v>
      </c>
      <c r="D52" s="24" t="str">
        <f>"0,5661"</f>
        <v>0,5661</v>
      </c>
      <c r="E52" s="25" t="s">
        <v>29</v>
      </c>
      <c r="F52" s="25" t="s">
        <v>322</v>
      </c>
      <c r="G52" s="26" t="s">
        <v>32</v>
      </c>
      <c r="H52" s="26"/>
      <c r="I52" s="26"/>
      <c r="J52" s="26"/>
      <c r="K52" s="23" t="str">
        <f>"0.00"</f>
        <v>0.00</v>
      </c>
      <c r="L52" s="24" t="str">
        <f>"0,0000"</f>
        <v>0,0000</v>
      </c>
      <c r="M52" s="25" t="s">
        <v>38</v>
      </c>
    </row>
    <row r="54" spans="1:13" ht="15">
      <c r="A54" s="40" t="s">
        <v>323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3">
      <c r="A55" s="19" t="s">
        <v>325</v>
      </c>
      <c r="B55" s="20" t="s">
        <v>326</v>
      </c>
      <c r="C55" s="20" t="s">
        <v>327</v>
      </c>
      <c r="D55" s="20" t="str">
        <f>"0,5601"</f>
        <v>0,5601</v>
      </c>
      <c r="E55" s="21" t="s">
        <v>29</v>
      </c>
      <c r="F55" s="21" t="s">
        <v>277</v>
      </c>
      <c r="G55" s="20" t="s">
        <v>328</v>
      </c>
      <c r="H55" s="20" t="s">
        <v>168</v>
      </c>
      <c r="I55" s="20" t="s">
        <v>329</v>
      </c>
      <c r="J55" s="22"/>
      <c r="K55" s="19" t="str">
        <f>"225,0"</f>
        <v>225,0</v>
      </c>
      <c r="L55" s="20" t="str">
        <f>"126,0113"</f>
        <v>126,0113</v>
      </c>
      <c r="M55" s="21" t="s">
        <v>38</v>
      </c>
    </row>
    <row r="56" spans="1:13">
      <c r="A56" s="23" t="s">
        <v>331</v>
      </c>
      <c r="B56" s="24" t="s">
        <v>491</v>
      </c>
      <c r="C56" s="24" t="s">
        <v>332</v>
      </c>
      <c r="D56" s="24" t="str">
        <f>"0,5538"</f>
        <v>0,5538</v>
      </c>
      <c r="E56" s="25" t="s">
        <v>29</v>
      </c>
      <c r="F56" s="25" t="s">
        <v>30</v>
      </c>
      <c r="G56" s="24" t="s">
        <v>78</v>
      </c>
      <c r="H56" s="24" t="s">
        <v>333</v>
      </c>
      <c r="I56" s="24" t="s">
        <v>334</v>
      </c>
      <c r="J56" s="26"/>
      <c r="K56" s="23" t="str">
        <f>"177,5"</f>
        <v>177,5</v>
      </c>
      <c r="L56" s="24" t="str">
        <f>"109,4172"</f>
        <v>109,4172</v>
      </c>
      <c r="M56" s="25" t="s">
        <v>38</v>
      </c>
    </row>
    <row r="58" spans="1:13" ht="15">
      <c r="E58" s="6" t="s">
        <v>17</v>
      </c>
    </row>
    <row r="59" spans="1:13" ht="15">
      <c r="E59" s="6" t="s">
        <v>18</v>
      </c>
    </row>
    <row r="60" spans="1:13" ht="15">
      <c r="E60" s="6" t="s">
        <v>19</v>
      </c>
    </row>
    <row r="61" spans="1:13" ht="15">
      <c r="E61" s="6" t="s">
        <v>20</v>
      </c>
    </row>
    <row r="62" spans="1:13" ht="15">
      <c r="E62" s="6" t="s">
        <v>20</v>
      </c>
    </row>
    <row r="63" spans="1:13" ht="15">
      <c r="E63" s="6" t="s">
        <v>21</v>
      </c>
    </row>
    <row r="64" spans="1:13" ht="15">
      <c r="E64" s="6"/>
    </row>
    <row r="66" spans="1:5" ht="18">
      <c r="A66" s="7" t="s">
        <v>22</v>
      </c>
      <c r="B66" s="8"/>
    </row>
    <row r="67" spans="1:5" ht="15">
      <c r="A67" s="13" t="s">
        <v>49</v>
      </c>
      <c r="B67" s="14"/>
    </row>
    <row r="68" spans="1:5" ht="14.25">
      <c r="A68" s="16"/>
      <c r="B68" s="17" t="s">
        <v>335</v>
      </c>
    </row>
    <row r="69" spans="1:5" ht="15">
      <c r="A69" s="18" t="s">
        <v>50</v>
      </c>
      <c r="B69" s="18" t="s">
        <v>51</v>
      </c>
      <c r="C69" s="18" t="s">
        <v>52</v>
      </c>
      <c r="D69" s="18" t="s">
        <v>53</v>
      </c>
      <c r="E69" s="18" t="s">
        <v>54</v>
      </c>
    </row>
    <row r="70" spans="1:5">
      <c r="A70" s="15" t="s">
        <v>208</v>
      </c>
      <c r="B70" s="1" t="s">
        <v>336</v>
      </c>
      <c r="C70" s="1" t="s">
        <v>124</v>
      </c>
      <c r="D70" s="1" t="s">
        <v>134</v>
      </c>
      <c r="E70" s="4" t="s">
        <v>337</v>
      </c>
    </row>
    <row r="72" spans="1:5" ht="14.25">
      <c r="A72" s="16"/>
      <c r="B72" s="17" t="s">
        <v>103</v>
      </c>
    </row>
    <row r="73" spans="1:5" ht="15">
      <c r="A73" s="18" t="s">
        <v>50</v>
      </c>
      <c r="B73" s="18" t="s">
        <v>51</v>
      </c>
      <c r="C73" s="18" t="s">
        <v>52</v>
      </c>
      <c r="D73" s="18" t="s">
        <v>53</v>
      </c>
      <c r="E73" s="18" t="s">
        <v>54</v>
      </c>
    </row>
    <row r="74" spans="1:5">
      <c r="A74" s="15" t="s">
        <v>182</v>
      </c>
      <c r="B74" s="1" t="s">
        <v>103</v>
      </c>
      <c r="C74" s="1" t="s">
        <v>338</v>
      </c>
      <c r="D74" s="1" t="s">
        <v>188</v>
      </c>
      <c r="E74" s="4" t="s">
        <v>339</v>
      </c>
    </row>
    <row r="75" spans="1:5">
      <c r="A75" s="15" t="s">
        <v>189</v>
      </c>
      <c r="B75" s="1" t="s">
        <v>103</v>
      </c>
      <c r="C75" s="1" t="s">
        <v>338</v>
      </c>
      <c r="D75" s="1" t="s">
        <v>193</v>
      </c>
      <c r="E75" s="4" t="s">
        <v>340</v>
      </c>
    </row>
    <row r="76" spans="1:5">
      <c r="A76" s="15" t="s">
        <v>201</v>
      </c>
      <c r="B76" s="1" t="s">
        <v>103</v>
      </c>
      <c r="C76" s="1" t="s">
        <v>341</v>
      </c>
      <c r="D76" s="1" t="s">
        <v>206</v>
      </c>
      <c r="E76" s="4" t="s">
        <v>342</v>
      </c>
    </row>
    <row r="77" spans="1:5">
      <c r="A77" s="15" t="s">
        <v>194</v>
      </c>
      <c r="B77" s="1" t="s">
        <v>103</v>
      </c>
      <c r="C77" s="1" t="s">
        <v>338</v>
      </c>
      <c r="D77" s="1" t="s">
        <v>198</v>
      </c>
      <c r="E77" s="4" t="s">
        <v>343</v>
      </c>
    </row>
    <row r="80" spans="1:5" ht="15">
      <c r="A80" s="13" t="s">
        <v>58</v>
      </c>
      <c r="B80" s="14"/>
    </row>
    <row r="81" spans="1:5" ht="14.25">
      <c r="A81" s="16"/>
      <c r="B81" s="17" t="s">
        <v>175</v>
      </c>
    </row>
    <row r="82" spans="1:5" ht="15">
      <c r="A82" s="18" t="s">
        <v>50</v>
      </c>
      <c r="B82" s="18" t="s">
        <v>51</v>
      </c>
      <c r="C82" s="18" t="s">
        <v>52</v>
      </c>
      <c r="D82" s="18" t="s">
        <v>53</v>
      </c>
      <c r="E82" s="18" t="s">
        <v>54</v>
      </c>
    </row>
    <row r="83" spans="1:5">
      <c r="A83" s="15" t="s">
        <v>212</v>
      </c>
      <c r="B83" s="1" t="s">
        <v>344</v>
      </c>
      <c r="C83" s="1" t="s">
        <v>124</v>
      </c>
      <c r="D83" s="1" t="s">
        <v>144</v>
      </c>
      <c r="E83" s="4" t="s">
        <v>345</v>
      </c>
    </row>
    <row r="84" spans="1:5">
      <c r="A84" s="15" t="s">
        <v>292</v>
      </c>
      <c r="B84" s="1" t="s">
        <v>176</v>
      </c>
      <c r="C84" s="1" t="s">
        <v>59</v>
      </c>
      <c r="D84" s="1" t="s">
        <v>250</v>
      </c>
      <c r="E84" s="4" t="s">
        <v>346</v>
      </c>
    </row>
    <row r="85" spans="1:5">
      <c r="A85" s="15" t="s">
        <v>229</v>
      </c>
      <c r="B85" s="1" t="s">
        <v>344</v>
      </c>
      <c r="C85" s="1" t="s">
        <v>101</v>
      </c>
      <c r="D85" s="1" t="s">
        <v>218</v>
      </c>
      <c r="E85" s="4" t="s">
        <v>347</v>
      </c>
    </row>
    <row r="86" spans="1:5">
      <c r="A86" s="15" t="s">
        <v>255</v>
      </c>
      <c r="B86" s="1" t="s">
        <v>344</v>
      </c>
      <c r="C86" s="1" t="s">
        <v>55</v>
      </c>
      <c r="D86" s="1" t="s">
        <v>35</v>
      </c>
      <c r="E86" s="4" t="s">
        <v>348</v>
      </c>
    </row>
    <row r="88" spans="1:5" ht="14.25">
      <c r="A88" s="16"/>
      <c r="B88" s="17" t="s">
        <v>103</v>
      </c>
    </row>
    <row r="89" spans="1:5" ht="15">
      <c r="A89" s="18" t="s">
        <v>50</v>
      </c>
      <c r="B89" s="18" t="s">
        <v>51</v>
      </c>
      <c r="C89" s="18" t="s">
        <v>52</v>
      </c>
      <c r="D89" s="18" t="s">
        <v>53</v>
      </c>
      <c r="E89" s="18" t="s">
        <v>54</v>
      </c>
    </row>
    <row r="90" spans="1:5">
      <c r="A90" s="15" t="s">
        <v>324</v>
      </c>
      <c r="B90" s="1" t="s">
        <v>103</v>
      </c>
      <c r="C90" s="1" t="s">
        <v>349</v>
      </c>
      <c r="D90" s="1" t="s">
        <v>329</v>
      </c>
      <c r="E90" s="4" t="s">
        <v>350</v>
      </c>
    </row>
    <row r="91" spans="1:5">
      <c r="A91" s="15" t="s">
        <v>296</v>
      </c>
      <c r="B91" s="1" t="s">
        <v>103</v>
      </c>
      <c r="C91" s="1" t="s">
        <v>59</v>
      </c>
      <c r="D91" s="1" t="s">
        <v>78</v>
      </c>
      <c r="E91" s="4" t="s">
        <v>351</v>
      </c>
    </row>
    <row r="92" spans="1:5">
      <c r="A92" s="15" t="s">
        <v>219</v>
      </c>
      <c r="B92" s="1" t="s">
        <v>103</v>
      </c>
      <c r="C92" s="1" t="s">
        <v>124</v>
      </c>
      <c r="D92" s="1" t="s">
        <v>36</v>
      </c>
      <c r="E92" s="4" t="s">
        <v>352</v>
      </c>
    </row>
    <row r="93" spans="1:5">
      <c r="A93" s="15" t="s">
        <v>259</v>
      </c>
      <c r="B93" s="1" t="s">
        <v>103</v>
      </c>
      <c r="C93" s="1" t="s">
        <v>55</v>
      </c>
      <c r="D93" s="1" t="s">
        <v>37</v>
      </c>
      <c r="E93" s="4" t="s">
        <v>353</v>
      </c>
    </row>
    <row r="94" spans="1:5">
      <c r="A94" s="15" t="s">
        <v>273</v>
      </c>
      <c r="B94" s="1" t="s">
        <v>103</v>
      </c>
      <c r="C94" s="1" t="s">
        <v>108</v>
      </c>
      <c r="D94" s="1" t="s">
        <v>278</v>
      </c>
      <c r="E94" s="4" t="s">
        <v>354</v>
      </c>
    </row>
    <row r="95" spans="1:5">
      <c r="A95" s="15" t="s">
        <v>234</v>
      </c>
      <c r="B95" s="1" t="s">
        <v>103</v>
      </c>
      <c r="C95" s="1" t="s">
        <v>101</v>
      </c>
      <c r="D95" s="1" t="s">
        <v>72</v>
      </c>
      <c r="E95" s="4" t="s">
        <v>355</v>
      </c>
    </row>
    <row r="96" spans="1:5">
      <c r="A96" s="15" t="s">
        <v>223</v>
      </c>
      <c r="B96" s="1" t="s">
        <v>103</v>
      </c>
      <c r="C96" s="1" t="s">
        <v>124</v>
      </c>
      <c r="D96" s="1" t="s">
        <v>228</v>
      </c>
      <c r="E96" s="4" t="s">
        <v>356</v>
      </c>
    </row>
    <row r="97" spans="1:5">
      <c r="A97" s="15" t="s">
        <v>238</v>
      </c>
      <c r="B97" s="1" t="s">
        <v>103</v>
      </c>
      <c r="C97" s="1" t="s">
        <v>101</v>
      </c>
      <c r="D97" s="1" t="s">
        <v>72</v>
      </c>
      <c r="E97" s="4" t="s">
        <v>357</v>
      </c>
    </row>
    <row r="98" spans="1:5">
      <c r="A98" s="15" t="s">
        <v>279</v>
      </c>
      <c r="B98" s="1" t="s">
        <v>103</v>
      </c>
      <c r="C98" s="1" t="s">
        <v>108</v>
      </c>
      <c r="D98" s="1" t="s">
        <v>142</v>
      </c>
      <c r="E98" s="4" t="s">
        <v>358</v>
      </c>
    </row>
    <row r="99" spans="1:5">
      <c r="A99" s="15" t="s">
        <v>242</v>
      </c>
      <c r="B99" s="1" t="s">
        <v>103</v>
      </c>
      <c r="C99" s="1" t="s">
        <v>101</v>
      </c>
      <c r="D99" s="1" t="s">
        <v>36</v>
      </c>
      <c r="E99" s="4" t="s">
        <v>359</v>
      </c>
    </row>
    <row r="100" spans="1:5">
      <c r="A100" s="15" t="s">
        <v>300</v>
      </c>
      <c r="B100" s="1" t="s">
        <v>103</v>
      </c>
      <c r="C100" s="1" t="s">
        <v>59</v>
      </c>
      <c r="D100" s="1" t="s">
        <v>32</v>
      </c>
      <c r="E100" s="4" t="s">
        <v>360</v>
      </c>
    </row>
    <row r="101" spans="1:5">
      <c r="A101" s="15" t="s">
        <v>263</v>
      </c>
      <c r="B101" s="1" t="s">
        <v>103</v>
      </c>
      <c r="C101" s="1" t="s">
        <v>55</v>
      </c>
      <c r="D101" s="1" t="s">
        <v>228</v>
      </c>
      <c r="E101" s="4" t="s">
        <v>361</v>
      </c>
    </row>
    <row r="102" spans="1:5">
      <c r="A102" s="15" t="s">
        <v>245</v>
      </c>
      <c r="B102" s="1" t="s">
        <v>103</v>
      </c>
      <c r="C102" s="1" t="s">
        <v>101</v>
      </c>
      <c r="D102" s="1" t="s">
        <v>250</v>
      </c>
      <c r="E102" s="4" t="s">
        <v>362</v>
      </c>
    </row>
    <row r="103" spans="1:5">
      <c r="A103" s="15" t="s">
        <v>284</v>
      </c>
      <c r="B103" s="1" t="s">
        <v>103</v>
      </c>
      <c r="C103" s="1" t="s">
        <v>108</v>
      </c>
      <c r="D103" s="1" t="s">
        <v>288</v>
      </c>
      <c r="E103" s="4" t="s">
        <v>363</v>
      </c>
    </row>
    <row r="104" spans="1:5">
      <c r="A104" s="15" t="s">
        <v>251</v>
      </c>
      <c r="B104" s="1" t="s">
        <v>103</v>
      </c>
      <c r="C104" s="1" t="s">
        <v>101</v>
      </c>
      <c r="D104" s="1" t="s">
        <v>166</v>
      </c>
      <c r="E104" s="4" t="s">
        <v>364</v>
      </c>
    </row>
    <row r="106" spans="1:5" ht="14.25">
      <c r="A106" s="16"/>
      <c r="B106" s="17" t="s">
        <v>508</v>
      </c>
    </row>
    <row r="107" spans="1:5" ht="15">
      <c r="A107" s="18" t="s">
        <v>50</v>
      </c>
      <c r="B107" s="18" t="s">
        <v>51</v>
      </c>
      <c r="C107" s="18" t="s">
        <v>52</v>
      </c>
      <c r="D107" s="18" t="s">
        <v>53</v>
      </c>
      <c r="E107" s="18" t="s">
        <v>54</v>
      </c>
    </row>
    <row r="108" spans="1:5">
      <c r="A108" s="15" t="s">
        <v>270</v>
      </c>
      <c r="B108" s="1" t="s">
        <v>504</v>
      </c>
      <c r="C108" s="1" t="s">
        <v>55</v>
      </c>
      <c r="D108" s="1" t="s">
        <v>72</v>
      </c>
      <c r="E108" s="4" t="s">
        <v>365</v>
      </c>
    </row>
    <row r="109" spans="1:5">
      <c r="A109" s="15" t="s">
        <v>312</v>
      </c>
      <c r="B109" s="1" t="s">
        <v>507</v>
      </c>
      <c r="C109" s="1" t="s">
        <v>59</v>
      </c>
      <c r="D109" s="1" t="s">
        <v>100</v>
      </c>
      <c r="E109" s="4" t="s">
        <v>366</v>
      </c>
    </row>
    <row r="110" spans="1:5">
      <c r="A110" s="15" t="s">
        <v>330</v>
      </c>
      <c r="B110" s="1" t="s">
        <v>503</v>
      </c>
      <c r="C110" s="1" t="s">
        <v>349</v>
      </c>
      <c r="D110" s="1" t="s">
        <v>334</v>
      </c>
      <c r="E110" s="4" t="s">
        <v>367</v>
      </c>
    </row>
    <row r="111" spans="1:5">
      <c r="A111" s="15" t="s">
        <v>306</v>
      </c>
      <c r="B111" s="1" t="s">
        <v>509</v>
      </c>
      <c r="C111" s="1" t="s">
        <v>59</v>
      </c>
      <c r="D111" s="1" t="s">
        <v>142</v>
      </c>
      <c r="E111" s="4" t="s">
        <v>368</v>
      </c>
    </row>
    <row r="112" spans="1:5">
      <c r="A112" s="15" t="s">
        <v>309</v>
      </c>
      <c r="B112" s="1" t="s">
        <v>503</v>
      </c>
      <c r="C112" s="1" t="s">
        <v>59</v>
      </c>
      <c r="D112" s="1" t="s">
        <v>174</v>
      </c>
      <c r="E112" s="4" t="s">
        <v>369</v>
      </c>
    </row>
  </sheetData>
  <mergeCells count="21">
    <mergeCell ref="A21:L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  <mergeCell ref="A13:L13"/>
    <mergeCell ref="A16:L16"/>
    <mergeCell ref="A29:L29"/>
    <mergeCell ref="A36:L36"/>
    <mergeCell ref="A42:L42"/>
    <mergeCell ref="A50:L50"/>
    <mergeCell ref="A54:L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topLeftCell="A8" workbookViewId="0">
      <selection activeCell="D12" sqref="D11:D12"/>
    </sheetView>
  </sheetViews>
  <sheetFormatPr defaultRowHeight="12.75"/>
  <cols>
    <col min="1" max="1" width="28.28515625" style="4" bestFit="1" customWidth="1"/>
    <col min="2" max="2" width="27.710937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9.14062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8.85546875" style="5" bestFit="1" customWidth="1"/>
    <col min="22" max="16384" width="9.140625" style="1"/>
  </cols>
  <sheetData>
    <row r="1" spans="1:21" ht="29.1" customHeight="1">
      <c r="A1" s="41" t="s">
        <v>511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2" t="s">
        <v>24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5" t="s">
        <v>13</v>
      </c>
      <c r="T3" s="51" t="s">
        <v>2</v>
      </c>
      <c r="U3" s="37" t="s">
        <v>1</v>
      </c>
    </row>
    <row r="4" spans="1:21" s="2" customFormat="1" ht="21" customHeight="1" thickBot="1">
      <c r="A4" s="48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6"/>
      <c r="T4" s="50"/>
      <c r="U4" s="38"/>
    </row>
    <row r="5" spans="1:21" ht="15">
      <c r="A5" s="39" t="s">
        <v>63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>
      <c r="A6" s="9" t="s">
        <v>162</v>
      </c>
      <c r="B6" s="10" t="s">
        <v>163</v>
      </c>
      <c r="C6" s="10" t="s">
        <v>164</v>
      </c>
      <c r="D6" s="10" t="str">
        <f>"0,7117"</f>
        <v>0,7117</v>
      </c>
      <c r="E6" s="11" t="s">
        <v>29</v>
      </c>
      <c r="F6" s="11" t="s">
        <v>165</v>
      </c>
      <c r="G6" s="12" t="s">
        <v>46</v>
      </c>
      <c r="H6" s="12" t="s">
        <v>46</v>
      </c>
      <c r="I6" s="10" t="s">
        <v>153</v>
      </c>
      <c r="J6" s="12"/>
      <c r="K6" s="10" t="s">
        <v>144</v>
      </c>
      <c r="L6" s="10" t="s">
        <v>166</v>
      </c>
      <c r="M6" s="12" t="s">
        <v>167</v>
      </c>
      <c r="N6" s="12"/>
      <c r="O6" s="10" t="s">
        <v>48</v>
      </c>
      <c r="P6" s="12" t="s">
        <v>168</v>
      </c>
      <c r="Q6" s="12" t="s">
        <v>168</v>
      </c>
      <c r="R6" s="12"/>
      <c r="S6" s="9" t="str">
        <f>"480,0"</f>
        <v>480,0</v>
      </c>
      <c r="T6" s="10" t="str">
        <f>"341,6160"</f>
        <v>341,6160</v>
      </c>
      <c r="U6" s="11" t="s">
        <v>38</v>
      </c>
    </row>
    <row r="8" spans="1:21" ht="15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1">
      <c r="A9" s="9" t="s">
        <v>170</v>
      </c>
      <c r="B9" s="10" t="s">
        <v>171</v>
      </c>
      <c r="C9" s="10" t="s">
        <v>172</v>
      </c>
      <c r="D9" s="10" t="str">
        <f>"0,5943"</f>
        <v>0,5943</v>
      </c>
      <c r="E9" s="11" t="s">
        <v>29</v>
      </c>
      <c r="F9" s="11" t="s">
        <v>30</v>
      </c>
      <c r="G9" s="10" t="s">
        <v>32</v>
      </c>
      <c r="H9" s="12" t="s">
        <v>100</v>
      </c>
      <c r="I9" s="10" t="s">
        <v>100</v>
      </c>
      <c r="J9" s="12"/>
      <c r="K9" s="10" t="s">
        <v>173</v>
      </c>
      <c r="L9" s="10" t="s">
        <v>174</v>
      </c>
      <c r="M9" s="12" t="s">
        <v>84</v>
      </c>
      <c r="N9" s="12"/>
      <c r="O9" s="10" t="s">
        <v>100</v>
      </c>
      <c r="P9" s="10" t="s">
        <v>46</v>
      </c>
      <c r="Q9" s="10" t="s">
        <v>153</v>
      </c>
      <c r="R9" s="12"/>
      <c r="S9" s="9" t="str">
        <f>"460,0"</f>
        <v>460,0</v>
      </c>
      <c r="T9" s="10" t="str">
        <f>"273,3780"</f>
        <v>273,3780</v>
      </c>
      <c r="U9" s="11" t="s">
        <v>38</v>
      </c>
    </row>
    <row r="11" spans="1:21" ht="15">
      <c r="E11" s="6" t="s">
        <v>17</v>
      </c>
    </row>
    <row r="12" spans="1:21" ht="15">
      <c r="E12" s="6" t="s">
        <v>18</v>
      </c>
    </row>
    <row r="13" spans="1:21" ht="15">
      <c r="E13" s="6" t="s">
        <v>19</v>
      </c>
    </row>
    <row r="14" spans="1:21" ht="15">
      <c r="E14" s="6" t="s">
        <v>20</v>
      </c>
    </row>
    <row r="15" spans="1:21" ht="15">
      <c r="E15" s="6" t="s">
        <v>20</v>
      </c>
    </row>
    <row r="16" spans="1:21" ht="15">
      <c r="E16" s="6" t="s">
        <v>21</v>
      </c>
    </row>
    <row r="17" spans="1:5" ht="15">
      <c r="E17" s="6"/>
    </row>
    <row r="19" spans="1:5" ht="18">
      <c r="A19" s="7" t="s">
        <v>22</v>
      </c>
      <c r="B19" s="8"/>
    </row>
    <row r="20" spans="1:5" ht="15">
      <c r="A20" s="13" t="s">
        <v>58</v>
      </c>
      <c r="B20" s="14"/>
    </row>
    <row r="21" spans="1:5" ht="14.25">
      <c r="A21" s="16"/>
      <c r="B21" s="17" t="s">
        <v>175</v>
      </c>
    </row>
    <row r="22" spans="1:5" ht="15">
      <c r="A22" s="18" t="s">
        <v>50</v>
      </c>
      <c r="B22" s="18" t="s">
        <v>51</v>
      </c>
      <c r="C22" s="18" t="s">
        <v>52</v>
      </c>
      <c r="D22" s="18" t="s">
        <v>53</v>
      </c>
      <c r="E22" s="18" t="s">
        <v>54</v>
      </c>
    </row>
    <row r="23" spans="1:5">
      <c r="A23" s="15" t="s">
        <v>161</v>
      </c>
      <c r="B23" s="1" t="s">
        <v>176</v>
      </c>
      <c r="C23" s="1" t="s">
        <v>101</v>
      </c>
      <c r="D23" s="1" t="s">
        <v>177</v>
      </c>
      <c r="E23" s="4" t="s">
        <v>178</v>
      </c>
    </row>
    <row r="25" spans="1:5" ht="14.25">
      <c r="A25" s="16"/>
      <c r="B25" s="17" t="s">
        <v>103</v>
      </c>
    </row>
    <row r="26" spans="1:5" ht="15">
      <c r="A26" s="18" t="s">
        <v>50</v>
      </c>
      <c r="B26" s="18" t="s">
        <v>51</v>
      </c>
      <c r="C26" s="18" t="s">
        <v>52</v>
      </c>
      <c r="D26" s="18" t="s">
        <v>53</v>
      </c>
      <c r="E26" s="18" t="s">
        <v>54</v>
      </c>
    </row>
    <row r="27" spans="1:5">
      <c r="A27" s="15" t="s">
        <v>169</v>
      </c>
      <c r="B27" s="1" t="s">
        <v>103</v>
      </c>
      <c r="C27" s="1" t="s">
        <v>59</v>
      </c>
      <c r="D27" s="1" t="s">
        <v>179</v>
      </c>
      <c r="E27" s="4" t="s">
        <v>180</v>
      </c>
    </row>
  </sheetData>
  <mergeCells count="13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R3"/>
    <mergeCell ref="S3:S4"/>
    <mergeCell ref="T3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topLeftCell="A9" workbookViewId="0">
      <selection activeCell="B28" sqref="B28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17.2851562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15" style="5" bestFit="1" customWidth="1"/>
    <col min="22" max="16384" width="9.140625" style="1"/>
  </cols>
  <sheetData>
    <row r="1" spans="1:21" ht="29.1" customHeight="1">
      <c r="A1" s="41" t="s">
        <v>129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2" t="s">
        <v>24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5" t="s">
        <v>13</v>
      </c>
      <c r="T3" s="51" t="s">
        <v>2</v>
      </c>
      <c r="U3" s="37" t="s">
        <v>1</v>
      </c>
    </row>
    <row r="4" spans="1:21" s="2" customFormat="1" ht="21" customHeight="1" thickBot="1">
      <c r="A4" s="48"/>
      <c r="B4" s="50"/>
      <c r="C4" s="50"/>
      <c r="D4" s="50"/>
      <c r="E4" s="50"/>
      <c r="F4" s="50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6"/>
      <c r="T4" s="50"/>
      <c r="U4" s="38"/>
    </row>
    <row r="5" spans="1:21" ht="15">
      <c r="A5" s="39" t="s">
        <v>130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>
      <c r="A6" s="9" t="s">
        <v>131</v>
      </c>
      <c r="B6" s="10" t="s">
        <v>132</v>
      </c>
      <c r="C6" s="10" t="s">
        <v>133</v>
      </c>
      <c r="D6" s="10" t="str">
        <f>"1,0622"</f>
        <v>1,0622</v>
      </c>
      <c r="E6" s="11" t="s">
        <v>29</v>
      </c>
      <c r="F6" s="11" t="s">
        <v>30</v>
      </c>
      <c r="G6" s="12" t="s">
        <v>134</v>
      </c>
      <c r="H6" s="12" t="s">
        <v>134</v>
      </c>
      <c r="I6" s="12" t="s">
        <v>134</v>
      </c>
      <c r="J6" s="12"/>
      <c r="K6" s="12" t="s">
        <v>135</v>
      </c>
      <c r="L6" s="12"/>
      <c r="M6" s="12"/>
      <c r="N6" s="12"/>
      <c r="O6" s="12" t="s">
        <v>136</v>
      </c>
      <c r="P6" s="12"/>
      <c r="Q6" s="12"/>
      <c r="R6" s="12"/>
      <c r="S6" s="9" t="str">
        <f>"0.00"</f>
        <v>0.00</v>
      </c>
      <c r="T6" s="10" t="str">
        <f>"0,0000"</f>
        <v>0,0000</v>
      </c>
      <c r="U6" s="11" t="s">
        <v>38</v>
      </c>
    </row>
    <row r="8" spans="1:21" ht="15">
      <c r="A8" s="40" t="s">
        <v>117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1">
      <c r="A9" s="19" t="s">
        <v>138</v>
      </c>
      <c r="B9" s="20" t="s">
        <v>139</v>
      </c>
      <c r="C9" s="20" t="s">
        <v>140</v>
      </c>
      <c r="D9" s="20" t="str">
        <f>"0,5795"</f>
        <v>0,5795</v>
      </c>
      <c r="E9" s="21" t="s">
        <v>141</v>
      </c>
      <c r="F9" s="21" t="s">
        <v>30</v>
      </c>
      <c r="G9" s="20" t="s">
        <v>84</v>
      </c>
      <c r="H9" s="20" t="s">
        <v>72</v>
      </c>
      <c r="I9" s="20" t="s">
        <v>142</v>
      </c>
      <c r="J9" s="22"/>
      <c r="K9" s="20" t="s">
        <v>143</v>
      </c>
      <c r="L9" s="22" t="s">
        <v>144</v>
      </c>
      <c r="M9" s="20" t="s">
        <v>144</v>
      </c>
      <c r="N9" s="22"/>
      <c r="O9" s="20" t="s">
        <v>142</v>
      </c>
      <c r="P9" s="20" t="s">
        <v>145</v>
      </c>
      <c r="Q9" s="20" t="s">
        <v>146</v>
      </c>
      <c r="R9" s="22"/>
      <c r="S9" s="19" t="str">
        <f>"400,0"</f>
        <v>400,0</v>
      </c>
      <c r="T9" s="20" t="str">
        <f>"231,7800"</f>
        <v>231,7800</v>
      </c>
      <c r="U9" s="21" t="s">
        <v>147</v>
      </c>
    </row>
    <row r="10" spans="1:21">
      <c r="A10" s="23" t="s">
        <v>149</v>
      </c>
      <c r="B10" s="24" t="s">
        <v>497</v>
      </c>
      <c r="C10" s="24" t="s">
        <v>150</v>
      </c>
      <c r="D10" s="24" t="str">
        <f>"0,5720"</f>
        <v>0,5720</v>
      </c>
      <c r="E10" s="25" t="s">
        <v>29</v>
      </c>
      <c r="F10" s="25" t="s">
        <v>30</v>
      </c>
      <c r="G10" s="24" t="s">
        <v>32</v>
      </c>
      <c r="H10" s="24" t="s">
        <v>145</v>
      </c>
      <c r="I10" s="26" t="s">
        <v>146</v>
      </c>
      <c r="J10" s="26"/>
      <c r="K10" s="24" t="s">
        <v>151</v>
      </c>
      <c r="L10" s="24" t="s">
        <v>152</v>
      </c>
      <c r="M10" s="26" t="s">
        <v>37</v>
      </c>
      <c r="N10" s="26"/>
      <c r="O10" s="24" t="s">
        <v>153</v>
      </c>
      <c r="P10" s="24" t="s">
        <v>154</v>
      </c>
      <c r="Q10" s="24" t="s">
        <v>155</v>
      </c>
      <c r="R10" s="26"/>
      <c r="S10" s="23" t="str">
        <f>"510,0"</f>
        <v>510,0</v>
      </c>
      <c r="T10" s="24" t="str">
        <f>"291,7200"</f>
        <v>291,7200</v>
      </c>
      <c r="U10" s="25" t="s">
        <v>156</v>
      </c>
    </row>
    <row r="12" spans="1:21" ht="15">
      <c r="E12" s="6" t="s">
        <v>17</v>
      </c>
    </row>
    <row r="13" spans="1:21" ht="15">
      <c r="E13" s="6" t="s">
        <v>18</v>
      </c>
    </row>
    <row r="14" spans="1:21" ht="15">
      <c r="E14" s="6" t="s">
        <v>19</v>
      </c>
    </row>
    <row r="15" spans="1:21" ht="15">
      <c r="E15" s="6" t="s">
        <v>20</v>
      </c>
    </row>
    <row r="16" spans="1:21" ht="15">
      <c r="E16" s="6" t="s">
        <v>20</v>
      </c>
    </row>
    <row r="17" spans="1:5" ht="15">
      <c r="E17" s="6" t="s">
        <v>21</v>
      </c>
    </row>
    <row r="18" spans="1:5" ht="15">
      <c r="E18" s="6"/>
    </row>
    <row r="20" spans="1:5" ht="18">
      <c r="A20" s="7" t="s">
        <v>22</v>
      </c>
      <c r="B20" s="8"/>
    </row>
    <row r="21" spans="1:5" ht="15">
      <c r="A21" s="13" t="s">
        <v>58</v>
      </c>
      <c r="B21" s="14"/>
    </row>
    <row r="22" spans="1:5" ht="14.25">
      <c r="A22" s="16"/>
      <c r="B22" s="17" t="s">
        <v>103</v>
      </c>
    </row>
    <row r="23" spans="1:5" ht="15">
      <c r="A23" s="18" t="s">
        <v>50</v>
      </c>
      <c r="B23" s="18" t="s">
        <v>51</v>
      </c>
      <c r="C23" s="18" t="s">
        <v>52</v>
      </c>
      <c r="D23" s="18" t="s">
        <v>53</v>
      </c>
      <c r="E23" s="18" t="s">
        <v>54</v>
      </c>
    </row>
    <row r="24" spans="1:5">
      <c r="A24" s="15" t="s">
        <v>137</v>
      </c>
      <c r="B24" s="1" t="s">
        <v>103</v>
      </c>
      <c r="C24" s="1" t="s">
        <v>127</v>
      </c>
      <c r="D24" s="1" t="s">
        <v>157</v>
      </c>
      <c r="E24" s="4" t="s">
        <v>158</v>
      </c>
    </row>
    <row r="26" spans="1:5" ht="14.25">
      <c r="A26" s="16"/>
      <c r="B26" s="17" t="s">
        <v>508</v>
      </c>
    </row>
    <row r="27" spans="1:5" ht="15">
      <c r="A27" s="18" t="s">
        <v>50</v>
      </c>
      <c r="B27" s="18" t="s">
        <v>51</v>
      </c>
      <c r="C27" s="18" t="s">
        <v>52</v>
      </c>
      <c r="D27" s="18" t="s">
        <v>53</v>
      </c>
      <c r="E27" s="18" t="s">
        <v>54</v>
      </c>
    </row>
    <row r="28" spans="1:5">
      <c r="A28" s="15" t="s">
        <v>148</v>
      </c>
      <c r="B28" s="1" t="s">
        <v>509</v>
      </c>
      <c r="C28" s="1" t="s">
        <v>127</v>
      </c>
      <c r="D28" s="1" t="s">
        <v>159</v>
      </c>
      <c r="E28" s="4" t="s">
        <v>160</v>
      </c>
    </row>
  </sheetData>
  <mergeCells count="13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R3"/>
    <mergeCell ref="S3:S4"/>
    <mergeCell ref="T3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topLeftCell="A15" workbookViewId="0">
      <selection activeCell="B26" sqref="B26"/>
    </sheetView>
  </sheetViews>
  <sheetFormatPr defaultRowHeight="12.75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17.2851562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8.85546875" style="5" bestFit="1" customWidth="1"/>
    <col min="14" max="16384" width="9.140625" style="1"/>
  </cols>
  <sheetData>
    <row r="1" spans="1:13" ht="29.1" customHeight="1">
      <c r="A1" s="41" t="s">
        <v>110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2" customFormat="1" ht="12.75" customHeight="1">
      <c r="A3" s="47" t="s">
        <v>0</v>
      </c>
      <c r="B3" s="49" t="s">
        <v>14</v>
      </c>
      <c r="C3" s="49" t="s">
        <v>15</v>
      </c>
      <c r="D3" s="51" t="s">
        <v>23</v>
      </c>
      <c r="E3" s="51" t="s">
        <v>3</v>
      </c>
      <c r="F3" s="51" t="s">
        <v>16</v>
      </c>
      <c r="G3" s="53"/>
      <c r="H3" s="53"/>
      <c r="I3" s="53"/>
      <c r="J3" s="53"/>
      <c r="K3" s="55" t="s">
        <v>13</v>
      </c>
      <c r="L3" s="51" t="s">
        <v>2</v>
      </c>
      <c r="M3" s="37" t="s">
        <v>1</v>
      </c>
    </row>
    <row r="4" spans="1:13" s="2" customFormat="1" ht="21" customHeight="1" thickBot="1">
      <c r="A4" s="48"/>
      <c r="B4" s="50"/>
      <c r="C4" s="50"/>
      <c r="D4" s="50"/>
      <c r="E4" s="50"/>
      <c r="F4" s="50"/>
      <c r="G4" s="3" t="s">
        <v>5</v>
      </c>
      <c r="H4" s="3" t="s">
        <v>6</v>
      </c>
      <c r="I4" s="3" t="s">
        <v>7</v>
      </c>
      <c r="J4" s="3" t="s">
        <v>8</v>
      </c>
      <c r="K4" s="56"/>
      <c r="L4" s="50"/>
      <c r="M4" s="38"/>
    </row>
    <row r="5" spans="1:13" ht="15">
      <c r="A5" s="39" t="s">
        <v>111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>
      <c r="A6" s="19" t="s">
        <v>113</v>
      </c>
      <c r="B6" s="20" t="s">
        <v>114</v>
      </c>
      <c r="C6" s="20" t="s">
        <v>115</v>
      </c>
      <c r="D6" s="20" t="str">
        <f>"0,9102"</f>
        <v>0,9102</v>
      </c>
      <c r="E6" s="21" t="s">
        <v>116</v>
      </c>
      <c r="F6" s="21" t="s">
        <v>30</v>
      </c>
      <c r="G6" s="20" t="s">
        <v>37</v>
      </c>
      <c r="H6" s="20" t="s">
        <v>100</v>
      </c>
      <c r="I6" s="20" t="s">
        <v>78</v>
      </c>
      <c r="J6" s="22"/>
      <c r="K6" s="19" t="str">
        <f>"170,0"</f>
        <v>170,0</v>
      </c>
      <c r="L6" s="20" t="str">
        <f>"154,7340"</f>
        <v>154,7340</v>
      </c>
      <c r="M6" s="21" t="s">
        <v>38</v>
      </c>
    </row>
    <row r="7" spans="1:13">
      <c r="A7" s="23" t="s">
        <v>113</v>
      </c>
      <c r="B7" s="24" t="s">
        <v>498</v>
      </c>
      <c r="C7" s="24" t="s">
        <v>115</v>
      </c>
      <c r="D7" s="24" t="str">
        <f>"0,9102"</f>
        <v>0,9102</v>
      </c>
      <c r="E7" s="25" t="s">
        <v>116</v>
      </c>
      <c r="F7" s="25" t="s">
        <v>30</v>
      </c>
      <c r="G7" s="24" t="s">
        <v>37</v>
      </c>
      <c r="H7" s="24" t="s">
        <v>100</v>
      </c>
      <c r="I7" s="24" t="s">
        <v>78</v>
      </c>
      <c r="J7" s="26"/>
      <c r="K7" s="23" t="str">
        <f>"170,0"</f>
        <v>170,0</v>
      </c>
      <c r="L7" s="24" t="str">
        <f>"183,2051"</f>
        <v>183,2051</v>
      </c>
      <c r="M7" s="25" t="s">
        <v>38</v>
      </c>
    </row>
    <row r="9" spans="1:13" ht="15">
      <c r="A9" s="40" t="s">
        <v>117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>
      <c r="A10" s="9" t="s">
        <v>119</v>
      </c>
      <c r="B10" s="10" t="s">
        <v>120</v>
      </c>
      <c r="C10" s="10" t="s">
        <v>121</v>
      </c>
      <c r="D10" s="10" t="str">
        <f>"0,5632"</f>
        <v>0,5632</v>
      </c>
      <c r="E10" s="11" t="s">
        <v>29</v>
      </c>
      <c r="F10" s="11" t="s">
        <v>30</v>
      </c>
      <c r="G10" s="10" t="s">
        <v>44</v>
      </c>
      <c r="H10" s="10" t="s">
        <v>122</v>
      </c>
      <c r="I10" s="10" t="s">
        <v>123</v>
      </c>
      <c r="J10" s="12"/>
      <c r="K10" s="9" t="str">
        <f>"270,0"</f>
        <v>270,0</v>
      </c>
      <c r="L10" s="10" t="str">
        <f>"152,0640"</f>
        <v>152,0640</v>
      </c>
      <c r="M10" s="11" t="s">
        <v>38</v>
      </c>
    </row>
    <row r="12" spans="1:13" ht="15">
      <c r="E12" s="6" t="s">
        <v>17</v>
      </c>
    </row>
    <row r="13" spans="1:13" ht="15">
      <c r="E13" s="6" t="s">
        <v>18</v>
      </c>
    </row>
    <row r="14" spans="1:13" ht="15">
      <c r="E14" s="6" t="s">
        <v>19</v>
      </c>
    </row>
    <row r="15" spans="1:13" ht="15">
      <c r="E15" s="6" t="s">
        <v>20</v>
      </c>
    </row>
    <row r="16" spans="1:13" ht="15">
      <c r="E16" s="6" t="s">
        <v>20</v>
      </c>
    </row>
    <row r="17" spans="1:5" ht="15">
      <c r="E17" s="6" t="s">
        <v>21</v>
      </c>
    </row>
    <row r="18" spans="1:5" ht="15">
      <c r="E18" s="6"/>
    </row>
    <row r="20" spans="1:5" ht="18">
      <c r="A20" s="7" t="s">
        <v>22</v>
      </c>
      <c r="B20" s="8"/>
    </row>
    <row r="21" spans="1:5" ht="15">
      <c r="A21" s="13" t="s">
        <v>49</v>
      </c>
      <c r="B21" s="14"/>
    </row>
    <row r="22" spans="1:5" ht="14.25">
      <c r="A22" s="16"/>
      <c r="B22" s="17" t="s">
        <v>103</v>
      </c>
    </row>
    <row r="23" spans="1:5" ht="15">
      <c r="A23" s="18" t="s">
        <v>50</v>
      </c>
      <c r="B23" s="18" t="s">
        <v>51</v>
      </c>
      <c r="C23" s="18" t="s">
        <v>52</v>
      </c>
      <c r="D23" s="18" t="s">
        <v>53</v>
      </c>
      <c r="E23" s="18" t="s">
        <v>54</v>
      </c>
    </row>
    <row r="24" spans="1:5">
      <c r="A24" s="15" t="s">
        <v>112</v>
      </c>
      <c r="B24" s="1" t="s">
        <v>103</v>
      </c>
      <c r="C24" s="1" t="s">
        <v>124</v>
      </c>
      <c r="D24" s="1" t="s">
        <v>78</v>
      </c>
      <c r="E24" s="4" t="s">
        <v>125</v>
      </c>
    </row>
    <row r="26" spans="1:5" ht="14.25">
      <c r="A26" s="16"/>
      <c r="B26" s="17" t="s">
        <v>508</v>
      </c>
    </row>
    <row r="27" spans="1:5" ht="15">
      <c r="A27" s="18" t="s">
        <v>50</v>
      </c>
      <c r="B27" s="18" t="s">
        <v>51</v>
      </c>
      <c r="C27" s="18" t="s">
        <v>52</v>
      </c>
      <c r="D27" s="18" t="s">
        <v>53</v>
      </c>
      <c r="E27" s="18" t="s">
        <v>54</v>
      </c>
    </row>
    <row r="28" spans="1:5">
      <c r="A28" s="15" t="s">
        <v>112</v>
      </c>
      <c r="B28" s="1" t="s">
        <v>507</v>
      </c>
      <c r="C28" s="1" t="s">
        <v>124</v>
      </c>
      <c r="D28" s="1" t="s">
        <v>78</v>
      </c>
      <c r="E28" s="4" t="s">
        <v>126</v>
      </c>
    </row>
    <row r="31" spans="1:5" ht="15">
      <c r="A31" s="13" t="s">
        <v>58</v>
      </c>
      <c r="B31" s="14"/>
    </row>
    <row r="32" spans="1:5" ht="14.25">
      <c r="A32" s="16"/>
      <c r="B32" s="17" t="s">
        <v>103</v>
      </c>
    </row>
    <row r="33" spans="1:5" ht="15">
      <c r="A33" s="18" t="s">
        <v>50</v>
      </c>
      <c r="B33" s="18" t="s">
        <v>51</v>
      </c>
      <c r="C33" s="18" t="s">
        <v>52</v>
      </c>
      <c r="D33" s="18" t="s">
        <v>53</v>
      </c>
      <c r="E33" s="18" t="s">
        <v>54</v>
      </c>
    </row>
    <row r="34" spans="1:5">
      <c r="A34" s="15" t="s">
        <v>118</v>
      </c>
      <c r="B34" s="1" t="s">
        <v>103</v>
      </c>
      <c r="C34" s="1" t="s">
        <v>127</v>
      </c>
      <c r="D34" s="1" t="s">
        <v>123</v>
      </c>
      <c r="E34" s="4" t="s">
        <v>128</v>
      </c>
    </row>
  </sheetData>
  <mergeCells count="13">
    <mergeCell ref="M3:M4"/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AWPC НЖ 1 вес</vt:lpstr>
      <vt:lpstr>WPC НЖ 1 вес</vt:lpstr>
      <vt:lpstr>AWPC б_э тяга</vt:lpstr>
      <vt:lpstr>WPC б_э тяга</vt:lpstr>
      <vt:lpstr>AWPC стд. софт эк. жим</vt:lpstr>
      <vt:lpstr>AWPC б_э жим</vt:lpstr>
      <vt:lpstr>AWPC Класс. ПЛ </vt:lpstr>
      <vt:lpstr>AWPC б_э ПЛ</vt:lpstr>
      <vt:lpstr>WPC стд. софт эк. жим</vt:lpstr>
      <vt:lpstr>WPC б_э жим</vt:lpstr>
      <vt:lpstr>WPC класс. ПЛ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2015-07-16T19:10:53Z</cp:lastPrinted>
  <dcterms:created xsi:type="dcterms:W3CDTF">2002-06-16T13:36:44Z</dcterms:created>
  <dcterms:modified xsi:type="dcterms:W3CDTF">2019-09-25T18:13:25Z</dcterms:modified>
</cp:coreProperties>
</file>